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5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earson\Northern Gas\GD2 Business Plan Team - RRP\Ofgem submissions\"/>
    </mc:Choice>
  </mc:AlternateContent>
  <bookViews>
    <workbookView xWindow="0" yWindow="0" windowWidth="28800" windowHeight="11445"/>
  </bookViews>
  <sheets>
    <sheet name="2.2 Totex costs summary" sheetId="1" r:id="rId1"/>
    <sheet name="2.3 Workload summary" sheetId="2" r:id="rId2"/>
    <sheet name="2.4 Safety" sheetId="3" r:id="rId3"/>
    <sheet name="2.5 Reliability" sheetId="4" r:id="rId4"/>
    <sheet name="2.6 Environmental" sheetId="5" r:id="rId5"/>
    <sheet name="2.7 Performance Snapshot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_hom1" hidden="1">{#N/A,#N/A,FALSE,"Assessment";#N/A,#N/A,FALSE,"Staffing";#N/A,#N/A,FALSE,"Hires";#N/A,#N/A,FALSE,"Assumptions"}</definedName>
    <definedName name="________k1" hidden="1">{#N/A,#N/A,FALSE,"Assessment";#N/A,#N/A,FALSE,"Staffing";#N/A,#N/A,FALSE,"Hires";#N/A,#N/A,FALSE,"Assumptions"}</definedName>
    <definedName name="________kk1" hidden="1">{#N/A,#N/A,FALSE,"Assessment";#N/A,#N/A,FALSE,"Staffing";#N/A,#N/A,FALSE,"Hires";#N/A,#N/A,FALSE,"Assumptions"}</definedName>
    <definedName name="________KKK1" hidden="1">{#N/A,#N/A,FALSE,"Assessment";#N/A,#N/A,FALSE,"Staffing";#N/A,#N/A,FALSE,"Hires";#N/A,#N/A,FALSE,"Assumptions"}</definedName>
    <definedName name="_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9" hidden="1">{"holdco",#N/A,FALSE,"Summary Financials";"holdco",#N/A,FALSE,"Summary Financials"}</definedName>
    <definedName name="________wrn1" hidden="1">{"holdco",#N/A,FALSE,"Summary Financials";"holdco",#N/A,FALSE,"Summary Financials"}</definedName>
    <definedName name="________wrn2" hidden="1">{"holdco",#N/A,FALSE,"Summary Financials";"holdco",#N/A,FALSE,"Summary Financials"}</definedName>
    <definedName name="________wrn3" hidden="1">{"holdco",#N/A,FALSE,"Summary Financials";"holdco",#N/A,FALSE,"Summary Financials"}</definedName>
    <definedName name="_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8" hidden="1">{"holdco",#N/A,FALSE,"Summary Financials";"holdco",#N/A,FALSE,"Summary Financials"}</definedName>
    <definedName name="_______bb2" hidden="1">{#N/A,#N/A,FALSE,"PRJCTED MNTHLY QTY's"}</definedName>
    <definedName name="_______Lee5" hidden="1">{#VALUE!,#N/A,FALSE,0}</definedName>
    <definedName name="______hom1" hidden="1">{#N/A,#N/A,FALSE,"Assessment";#N/A,#N/A,FALSE,"Staffing";#N/A,#N/A,FALSE,"Hires";#N/A,#N/A,FALSE,"Assumptions"}</definedName>
    <definedName name="______k1" hidden="1">{#N/A,#N/A,FALSE,"Assessment";#N/A,#N/A,FALSE,"Staffing";#N/A,#N/A,FALSE,"Hires";#N/A,#N/A,FALSE,"Assumptions"}</definedName>
    <definedName name="______kk1" hidden="1">{#N/A,#N/A,FALSE,"Assessment";#N/A,#N/A,FALSE,"Staffing";#N/A,#N/A,FALSE,"Hires";#N/A,#N/A,FALSE,"Assumptions"}</definedName>
    <definedName name="______KKK1" hidden="1">{#N/A,#N/A,FALSE,"Assessment";#N/A,#N/A,FALSE,"Staffing";#N/A,#N/A,FALSE,"Hires";#N/A,#N/A,FALSE,"Assumptions"}</definedName>
    <definedName name="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9" hidden="1">{"holdco",#N/A,FALSE,"Summary Financials";"holdco",#N/A,FALSE,"Summary Financials"}</definedName>
    <definedName name="______wrn1" hidden="1">{"holdco",#N/A,FALSE,"Summary Financials";"holdco",#N/A,FALSE,"Summary Financials"}</definedName>
    <definedName name="______wrn2" hidden="1">{"holdco",#N/A,FALSE,"Summary Financials";"holdco",#N/A,FALSE,"Summary Financials"}</definedName>
    <definedName name="______wrn3" hidden="1">{"holdco",#N/A,FALSE,"Summary Financials";"holdco",#N/A,FALSE,"Summary Financials"}</definedName>
    <definedName name="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8" hidden="1">{"holdco",#N/A,FALSE,"Summary Financials";"holdco",#N/A,FALSE,"Summary Financials"}</definedName>
    <definedName name="_____KKK1" hidden="1">{#N/A,#N/A,FALSE,"Assessment";#N/A,#N/A,FALSE,"Staffing";#N/A,#N/A,FALSE,"Hires";#N/A,#N/A,FALSE,"Assumptions"}</definedName>
    <definedName name="_____wrn1" hidden="1">{"holdco",#N/A,FALSE,"Summary Financials";"holdco",#N/A,FALSE,"Summary Financials"}</definedName>
    <definedName name="_____wrn2" hidden="1">{"holdco",#N/A,FALSE,"Summary Financials";"holdco",#N/A,FALSE,"Summary Financials"}</definedName>
    <definedName name="_____wrn3" hidden="1">{"holdco",#N/A,FALSE,"Summary Financials";"holdco",#N/A,FALSE,"Summary Financials"}</definedName>
    <definedName name="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8" hidden="1">{"holdco",#N/A,FALSE,"Summary Financials";"holdco",#N/A,FALSE,"Summary Financials"}</definedName>
    <definedName name="__123Graph_B" hidden="1">'[1]Universal data'!#REF!</definedName>
    <definedName name="__123Graph_C" hidden="1">'[1]Universal data'!#REF!</definedName>
    <definedName name="__123Graph_D" hidden="1">'[1]Universal data'!#REF!</definedName>
    <definedName name="__123Graph_X" hidden="1">'[1]Universal data'!#REF!</definedName>
    <definedName name="__FDS_HYPERLINK_TOGGLE_STATE__" hidden="1">"ON"</definedName>
    <definedName name="__hom1" hidden="1">{#N/A,#N/A,FALSE,"Assessment";#N/A,#N/A,FALSE,"Staffing";#N/A,#N/A,FALSE,"Hires";#N/A,#N/A,FALSE,"Assumptions"}</definedName>
    <definedName name="__IntlFixup" hidden="1">TRUE</definedName>
    <definedName name="__kk1" hidden="1">{#N/A,#N/A,FALSE,"Assessment";#N/A,#N/A,FALSE,"Staffing";#N/A,#N/A,FALSE,"Hires";#N/A,#N/A,FALSE,"Assumptions"}</definedName>
    <definedName name="__KKK1" hidden="1">{#N/A,#N/A,FALSE,"Assessment";#N/A,#N/A,FALSE,"Staffing";#N/A,#N/A,FALSE,"Hires";#N/A,#N/A,FALSE,"Assumptions"}</definedName>
    <definedName name="__wrn1" hidden="1">{"holdco",#N/A,FALSE,"Summary Financials";"holdco",#N/A,FALSE,"Summary Financials"}</definedName>
    <definedName name="__wrn2" hidden="1">{"holdco",#N/A,FALSE,"Summary Financials";"holdco",#N/A,FALSE,"Summary Financials"}</definedName>
    <definedName name="__wrn3" hidden="1">{"holdco",#N/A,FALSE,"Summary Financials";"holdco",#N/A,FALSE,"Summary Financials"}</definedName>
    <definedName name="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8" hidden="1">{"holdco",#N/A,FALSE,"Summary Financials";"holdco",#N/A,FALSE,"Summary Financials"}</definedName>
    <definedName name="_139__123Graph_LBL_DCHART_3" hidden="1">[2]Graphs!$D$59:$D$59</definedName>
    <definedName name="_142__123Graph_LBL_FCHART_1" hidden="1">[2]Graphs!$G$59:$G$59</definedName>
    <definedName name="_143__123Graph_LBL_FCHART_3" hidden="1">[2]Graphs!$G$59:$G$59</definedName>
    <definedName name="_33__123Graph_LBL_ECHART_3" hidden="1">[2]Graphs!$F$59:$F$59</definedName>
    <definedName name="_34__123Graph_LBL_FCHART_1" hidden="1">[2]Graphs!$G$59:$G$59</definedName>
    <definedName name="_35__123Graph_LBL_FCHART_3" hidden="1">[2]Graphs!$G$59:$G$59</definedName>
    <definedName name="_49__123Graph_LBL_FCHART_1" hidden="1">[2]Graphs!$G$59:$G$59</definedName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ftn1" localSheetId="5">'2.7 Performance Snapshot'!#REF!</definedName>
    <definedName name="_ftn2" localSheetId="5">'2.7 Performance Snapshot'!#REF!</definedName>
    <definedName name="_ftn3" localSheetId="5">'2.7 Performance Snapshot'!#REF!</definedName>
    <definedName name="_ftn4" localSheetId="5">'2.7 Performance Snapshot'!#REF!</definedName>
    <definedName name="_ftn5" localSheetId="5">'2.7 Performance Snapshot'!#REF!</definedName>
    <definedName name="_ftn6" localSheetId="5">'2.7 Performance Snapshot'!#REF!</definedName>
    <definedName name="_ftnref1" localSheetId="5">'2.7 Performance Snapshot'!#REF!</definedName>
    <definedName name="_ftnref2" localSheetId="5">'2.7 Performance Snapshot'!#REF!</definedName>
    <definedName name="_ftnref5" localSheetId="5">'2.7 Performance Snapshot'!$A$22</definedName>
    <definedName name="_ftnref6" localSheetId="5">'2.7 Performance Snapshot'!#REF!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Ref457995452" localSheetId="5">'2.7 Performance Snapshot'!#REF!</definedName>
    <definedName name="_Ref457995664" localSheetId="5">'2.7 Performance Snapshot'!$D$10</definedName>
    <definedName name="_Sort" hidden="1">#REF!</definedName>
    <definedName name="a" hidden="1">#REF!</definedName>
    <definedName name="AAA_duser" hidden="1">"OFF"</definedName>
    <definedName name="AAB_GSPPG" hidden="1">"AAB_Goldman Sachs PPG Chart Utilities 1.0g"</definedName>
    <definedName name="AccessDatabase" hidden="1">"C:\DATA\KEVIN\MODELS\Model 0218.mdb"</definedName>
    <definedName name="ACwvu.CapersView." hidden="1">[3]Sheet1!#REF!</definedName>
    <definedName name="ACwvu.Japan_Capers_Ed_Pub." hidden="1">#REF!</definedName>
    <definedName name="ACwvu.KJP_CC." hidden="1">#REF!</definedName>
    <definedName name="Baseline_Risk">#REF!</definedName>
    <definedName name="BExEZ4HBCC06708765M8A06KCR7P" hidden="1">#N/A</definedName>
    <definedName name="BLPH1" hidden="1">[4]Sheet2!#REF!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[4]Sheet2!#REF!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'[5]Risk-Free Rate'!$AQ$15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18" hidden="1">#REF!</definedName>
    <definedName name="BLPH219" hidden="1">#REF!</definedName>
    <definedName name="BLPH22" hidden="1">'[5]Risk-Free Rate'!$AN$15</definedName>
    <definedName name="BLPH220" hidden="1">#REF!</definedName>
    <definedName name="BLPH221" hidden="1">#REF!</definedName>
    <definedName name="BLPH222" hidden="1">#REF!</definedName>
    <definedName name="BLPH223" hidden="1">#REF!</definedName>
    <definedName name="BLPH224" hidden="1">#REF!</definedName>
    <definedName name="BLPH225" hidden="1">#REF!</definedName>
    <definedName name="BLPH226" hidden="1">#REF!</definedName>
    <definedName name="BLPH227" hidden="1">#REF!</definedName>
    <definedName name="BLPH228" hidden="1">#REF!</definedName>
    <definedName name="BLPH229" hidden="1">#REF!</definedName>
    <definedName name="BLPH23" hidden="1">'[5]Risk-Free Rate'!$AK$15</definedName>
    <definedName name="BLPH230" hidden="1">#REF!</definedName>
    <definedName name="BLPH231" hidden="1">#REF!</definedName>
    <definedName name="BLPH232" hidden="1">#REF!</definedName>
    <definedName name="BLPH233" hidden="1">#REF!</definedName>
    <definedName name="BLPH234" hidden="1">#REF!</definedName>
    <definedName name="BLPH235" hidden="1">#REF!</definedName>
    <definedName name="BLPH236" hidden="1">#REF!</definedName>
    <definedName name="BLPH237" hidden="1">#REF!</definedName>
    <definedName name="BLPH238" hidden="1">#REF!</definedName>
    <definedName name="BLPH239" hidden="1">#REF!</definedName>
    <definedName name="BLPH24" hidden="1">'[5]Risk-Free Rate'!$AH$15</definedName>
    <definedName name="BLPH240" hidden="1">#REF!</definedName>
    <definedName name="BLPH241" hidden="1">#REF!</definedName>
    <definedName name="BLPH242" hidden="1">#REF!</definedName>
    <definedName name="BLPH243" hidden="1">#REF!</definedName>
    <definedName name="BLPH244" hidden="1">#REF!</definedName>
    <definedName name="BLPH245" hidden="1">#REF!</definedName>
    <definedName name="BLPH246" hidden="1">#REF!</definedName>
    <definedName name="BLPH247" hidden="1">#REF!</definedName>
    <definedName name="BLPH248" hidden="1">#REF!</definedName>
    <definedName name="BLPH249" hidden="1">#REF!</definedName>
    <definedName name="BLPH25" hidden="1">'[5]Risk-Free Rate'!$AE$15</definedName>
    <definedName name="BLPH250" hidden="1">#REF!</definedName>
    <definedName name="BLPH251" hidden="1">#REF!</definedName>
    <definedName name="BLPH252" hidden="1">#REF!</definedName>
    <definedName name="BLPH253" hidden="1">#REF!</definedName>
    <definedName name="BLPH254" hidden="1">#REF!</definedName>
    <definedName name="BLPH255" hidden="1">#REF!</definedName>
    <definedName name="BLPH256" hidden="1">#REF!</definedName>
    <definedName name="BLPH257" hidden="1">#REF!</definedName>
    <definedName name="BLPH258" hidden="1">#REF!</definedName>
    <definedName name="BLPH259" hidden="1">#REF!</definedName>
    <definedName name="BLPH26" hidden="1">'[5]Risk-Free Rate'!$AB$15</definedName>
    <definedName name="BLPH260" hidden="1">#REF!</definedName>
    <definedName name="BLPH261" hidden="1">#REF!</definedName>
    <definedName name="BLPH262" hidden="1">#REF!</definedName>
    <definedName name="BLPH263" hidden="1">#REF!</definedName>
    <definedName name="BLPH264" hidden="1">#REF!</definedName>
    <definedName name="BLPH265" hidden="1">#REF!</definedName>
    <definedName name="BLPH266" hidden="1">#REF!</definedName>
    <definedName name="BLPH267" hidden="1">#REF!</definedName>
    <definedName name="BLPH268" hidden="1">#REF!</definedName>
    <definedName name="BLPH269" hidden="1">#REF!</definedName>
    <definedName name="BLPH27" hidden="1">'[5]Risk-Free Rate'!$Y$15</definedName>
    <definedName name="BLPH270" hidden="1">#REF!</definedName>
    <definedName name="BLPH271" hidden="1">#REF!</definedName>
    <definedName name="BLPH272" hidden="1">#REF!</definedName>
    <definedName name="BLPH273" hidden="1">#REF!</definedName>
    <definedName name="BLPH274" hidden="1">#REF!</definedName>
    <definedName name="BLPH275" hidden="1">#REF!</definedName>
    <definedName name="BLPH276" hidden="1">#REF!</definedName>
    <definedName name="BLPH277" hidden="1">#REF!</definedName>
    <definedName name="BLPH278" hidden="1">#REF!</definedName>
    <definedName name="BLPH279" hidden="1">#REF!</definedName>
    <definedName name="BLPH28" hidden="1">'[5]Risk-Free Rate'!$V$15</definedName>
    <definedName name="BLPH280" hidden="1">#REF!</definedName>
    <definedName name="BLPH281" hidden="1">#REF!</definedName>
    <definedName name="BLPH282" hidden="1">#REF!</definedName>
    <definedName name="BLPH283" hidden="1">#REF!</definedName>
    <definedName name="BLPH284" hidden="1">#REF!</definedName>
    <definedName name="BLPH285" hidden="1">#REF!</definedName>
    <definedName name="BLPH286" hidden="1">#REF!</definedName>
    <definedName name="BLPH287" hidden="1">#REF!</definedName>
    <definedName name="BLPH288" hidden="1">#REF!</definedName>
    <definedName name="BLPH289" hidden="1">#REF!</definedName>
    <definedName name="BLPH29" hidden="1">'[5]Risk-Free Rate'!$S$15</definedName>
    <definedName name="BLPH290" hidden="1">#REF!</definedName>
    <definedName name="BLPH291" hidden="1">#REF!</definedName>
    <definedName name="BLPH292" hidden="1">#REF!</definedName>
    <definedName name="BLPH293" hidden="1">#REF!</definedName>
    <definedName name="BLPH294" hidden="1">#REF!</definedName>
    <definedName name="BLPH295" hidden="1">#REF!</definedName>
    <definedName name="BLPH296" hidden="1">#REF!</definedName>
    <definedName name="BLPH297" hidden="1">#REF!</definedName>
    <definedName name="BLPH298" hidden="1">#REF!</definedName>
    <definedName name="BLPH299" hidden="1">#REF!</definedName>
    <definedName name="BLPH3" hidden="1">#REF!</definedName>
    <definedName name="BLPH30" hidden="1">'[5]Risk-Free Rate'!$P$15</definedName>
    <definedName name="BLPH300" hidden="1">#REF!</definedName>
    <definedName name="BLPH301" hidden="1">#REF!</definedName>
    <definedName name="BLPH302" hidden="1">#REF!</definedName>
    <definedName name="BLPH303" hidden="1">#REF!</definedName>
    <definedName name="BLPH304" hidden="1">#REF!</definedName>
    <definedName name="BLPH305" hidden="1">#REF!</definedName>
    <definedName name="BLPH306" hidden="1">#REF!</definedName>
    <definedName name="BLPH307" hidden="1">#REF!</definedName>
    <definedName name="BLPH308" hidden="1">#REF!</definedName>
    <definedName name="BLPH309" hidden="1">#REF!</definedName>
    <definedName name="BLPH31" hidden="1">'[5]Risk-Free Rate'!$M$15</definedName>
    <definedName name="BLPH310" hidden="1">#REF!</definedName>
    <definedName name="BLPH311" hidden="1">#REF!</definedName>
    <definedName name="BLPH312" hidden="1">#REF!</definedName>
    <definedName name="BLPH313" hidden="1">#REF!</definedName>
    <definedName name="BLPH314" hidden="1">#REF!</definedName>
    <definedName name="BLPH315" hidden="1">#REF!</definedName>
    <definedName name="BLPH316" hidden="1">#REF!</definedName>
    <definedName name="BLPH317" hidden="1">#REF!</definedName>
    <definedName name="BLPH318" hidden="1">#REF!</definedName>
    <definedName name="BLPH319" hidden="1">#REF!</definedName>
    <definedName name="BLPH32" hidden="1">'[5]Risk-Free Rate'!$J$15</definedName>
    <definedName name="BLPH320" hidden="1">#REF!</definedName>
    <definedName name="BLPH321" hidden="1">#REF!</definedName>
    <definedName name="BLPH322" hidden="1">#REF!</definedName>
    <definedName name="BLPH323" hidden="1">#REF!</definedName>
    <definedName name="BLPH324" hidden="1">#REF!</definedName>
    <definedName name="BLPH325" hidden="1">#REF!</definedName>
    <definedName name="BLPH326" hidden="1">#REF!</definedName>
    <definedName name="BLPH327" hidden="1">#REF!</definedName>
    <definedName name="BLPH328" hidden="1">#REF!</definedName>
    <definedName name="BLPH329" hidden="1">#REF!</definedName>
    <definedName name="BLPH33" hidden="1">'[5]Risk-Free Rate'!$G$15</definedName>
    <definedName name="BLPH330" hidden="1">#REF!</definedName>
    <definedName name="BLPH331" hidden="1">#REF!</definedName>
    <definedName name="BLPH332" hidden="1">#REF!</definedName>
    <definedName name="BLPH333" hidden="1">#REF!</definedName>
    <definedName name="BLPH334" hidden="1">#REF!</definedName>
    <definedName name="BLPH335" hidden="1">#REF!</definedName>
    <definedName name="BLPH336" hidden="1">#REF!</definedName>
    <definedName name="BLPH337" hidden="1">#REF!</definedName>
    <definedName name="BLPH338" hidden="1">#REF!</definedName>
    <definedName name="BLPH339" hidden="1">#REF!</definedName>
    <definedName name="BLPH34" hidden="1">'[5]Risk-Free Rate'!$D$15</definedName>
    <definedName name="BLPH340" hidden="1">#REF!</definedName>
    <definedName name="BLPH341" hidden="1">#REF!</definedName>
    <definedName name="BLPH342" hidden="1">#REF!</definedName>
    <definedName name="BLPH343" hidden="1">#REF!</definedName>
    <definedName name="BLPH344" hidden="1">#REF!</definedName>
    <definedName name="BLPH345" hidden="1">#REF!</definedName>
    <definedName name="BLPH346" hidden="1">#REF!</definedName>
    <definedName name="BLPH347" hidden="1">#REF!</definedName>
    <definedName name="BLPH348" hidden="1">#REF!</definedName>
    <definedName name="BLPH349" hidden="1">#REF!</definedName>
    <definedName name="BLPH35" hidden="1">'[5]Risk-Free Rate'!$A$15</definedName>
    <definedName name="BLPH350" hidden="1">#REF!</definedName>
    <definedName name="BLPH351" hidden="1">#REF!</definedName>
    <definedName name="BLPH352" hidden="1">#REF!</definedName>
    <definedName name="BLPH353" hidden="1">#REF!</definedName>
    <definedName name="BLPH354" hidden="1">#REF!</definedName>
    <definedName name="BLPH355" hidden="1">#REF!</definedName>
    <definedName name="BLPH356" hidden="1">#REF!</definedName>
    <definedName name="BLPH357" hidden="1">#REF!</definedName>
    <definedName name="BLPH358" hidden="1">#REF!</definedName>
    <definedName name="BLPH359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[4]Sheet2!#REF!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Combine_Lookup">#REF!</definedName>
    <definedName name="Combine_Valid">#REF!</definedName>
    <definedName name="Cwvu.CapersView." hidden="1">[3]Sheet1!#REF!</definedName>
    <definedName name="Cwvu.Japan_Capers_Ed_Pub." hidden="1">[3]Sheet1!#REF!</definedName>
    <definedName name="Dia_Valid">#REF!</definedName>
    <definedName name="Dist_Valid">#REF!</definedName>
    <definedName name="Driver_Valid">#REF!</definedName>
    <definedName name="gwge" hidden="1">#REF!</definedName>
    <definedName name="HTML_CodePage" hidden="1">1252</definedName>
    <definedName name="HTML_Description" hidden="1">"DRAFT"</definedName>
    <definedName name="HTML_Email" hidden="1">"Patrick_Blattner@Studio.Disney.com"</definedName>
    <definedName name="HTML_Header" hidden="1">"EXISTING &amp; FUTURE PRODUCTS (CONFIDENTIAL)"</definedName>
    <definedName name="HTML_LastUpdate" hidden="1">"2/8/98"</definedName>
    <definedName name="HTML_LineAfter" hidden="1">FALSE</definedName>
    <definedName name="HTML_LineBefore" hidden="1">TRUE</definedName>
    <definedName name="HTML_Name" hidden="1">"Patrick Blattner"</definedName>
    <definedName name="HTML_OBDlg2" hidden="1">TRUE</definedName>
    <definedName name="HTML_OBDlg4" hidden="1">TRUE</definedName>
    <definedName name="HTML_OS" hidden="1">0</definedName>
    <definedName name="HTML_PathFile" hidden="1">"K:\ANIMATE\SECURE\Production\INTRANET\ANI.HTML.htm"</definedName>
    <definedName name="HTML_Title" hidden="1">"2D ANIMATION PRODUCTION TABLE"</definedName>
    <definedName name="ListOffset" hidden="1">1</definedName>
    <definedName name="Mat__Type_Array">#REF!</definedName>
    <definedName name="Mat_Type_Row">#REF!</definedName>
    <definedName name="Mat_Valid">#REF!</definedName>
    <definedName name="Pal_Workbook_GUID" hidden="1">"LJ9YVKRJVQ1A1KNUG7XIT5A9"</definedName>
    <definedName name="Pipe_Length">#REF!</definedName>
    <definedName name="_xlnm.Print_Area" localSheetId="2">'2.4 Safety'!$A$1:$AE$83</definedName>
    <definedName name="_xlnm.Print_Area" localSheetId="5">'2.7 Performance Snapshot'!$A$1:$D$38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wvu.CapersView." hidden="1">#REF!</definedName>
    <definedName name="Rwvu.Japan_Capers_Ed_Pub." hidden="1">#REF!</definedName>
    <definedName name="Rwvu.KJP_CC." hidden="1">#REF!</definedName>
    <definedName name="SAPBEXhrIndnt" hidden="1">"Wide"</definedName>
    <definedName name="SAPBEXrevision" hidden="1">1</definedName>
    <definedName name="SAPBEXsysID" hidden="1">"BWP"</definedName>
    <definedName name="SAPBEXwbID" hidden="1">"3M0Y5JZ0K259IJHR15SO2N9QE"</definedName>
    <definedName name="SAPsysID" hidden="1">"708C5W7SBKP804JT78WJ0JNKI"</definedName>
    <definedName name="SAPwbID" hidden="1">"ARS"</definedName>
    <definedName name="select_GDN_name">'[6]2. Out of area networks'!$L$188:$L$195</definedName>
    <definedName name="Sum_Length">#REF!</definedName>
    <definedName name="Swvu.CapersView." hidden="1">[3]Sheet1!#REF!</definedName>
    <definedName name="Swvu.Japan_Capers_Ed_Pub." hidden="1">#REF!</definedName>
    <definedName name="Swvu.KJP_CC." hidden="1">#REF!</definedName>
    <definedName name="Tier_Lookup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_Valid">#REF!</definedName>
    <definedName name="Z_19FDD237_8F16_4F3B_A94F_90481855813E_.wvu.PrintArea" localSheetId="2" hidden="1">'2.4 Safety'!$A$1:$AE$83</definedName>
    <definedName name="Z_97003408_5582_4B4E_BE5D_0A5F17467E22_.wvu.PrintArea" localSheetId="2" hidden="1">'2.4 Safety'!$A$1:$AE$83</definedName>
    <definedName name="Z_9A428CE1_B4D9_11D0_A8AA_0000C071AEE7_.wvu.Cols" hidden="1">[3]Sheet1!$A$1:$Q$65536,[3]Sheet1!$Y$1:$Z$65536</definedName>
    <definedName name="Z_9A428CE1_B4D9_11D0_A8AA_0000C071AEE7_.wvu.PrintArea" hidden="1">#REF!</definedName>
    <definedName name="Z_CE066BD8_0FDF_4A69_A83A_AA53661F8FEE_.wvu.PrintArea" localSheetId="2" hidden="1">'2.4 Safety'!$A$1:$AE$83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6" l="1"/>
  <c r="D29" i="6"/>
  <c r="D11" i="6"/>
  <c r="D52" i="5"/>
  <c r="N51" i="5"/>
  <c r="X51" i="5" s="1"/>
  <c r="AB50" i="5"/>
  <c r="X50" i="5"/>
  <c r="S50" i="5"/>
  <c r="AC50" i="5" s="1"/>
  <c r="R50" i="5"/>
  <c r="Q50" i="5"/>
  <c r="AA50" i="5" s="1"/>
  <c r="O50" i="5"/>
  <c r="Y50" i="5" s="1"/>
  <c r="N50" i="5"/>
  <c r="M50" i="5"/>
  <c r="W50" i="5" s="1"/>
  <c r="L50" i="5"/>
  <c r="V50" i="5" s="1"/>
  <c r="H41" i="5"/>
  <c r="D41" i="5"/>
  <c r="D42" i="5" s="1"/>
  <c r="P50" i="5"/>
  <c r="Z50" i="5" s="1"/>
  <c r="B38" i="5"/>
  <c r="S24" i="5"/>
  <c r="AC24" i="5" s="1"/>
  <c r="R24" i="5"/>
  <c r="AB24" i="5" s="1"/>
  <c r="Q24" i="5"/>
  <c r="AA24" i="5" s="1"/>
  <c r="O24" i="5"/>
  <c r="Y24" i="5" s="1"/>
  <c r="N24" i="5"/>
  <c r="X24" i="5" s="1"/>
  <c r="M24" i="5"/>
  <c r="W24" i="5" s="1"/>
  <c r="L24" i="5"/>
  <c r="V24" i="5" s="1"/>
  <c r="P24" i="5"/>
  <c r="Z24" i="5" s="1"/>
  <c r="B12" i="5"/>
  <c r="I114" i="4"/>
  <c r="H114" i="4"/>
  <c r="G114" i="4"/>
  <c r="F114" i="4"/>
  <c r="E114" i="4"/>
  <c r="D114" i="4"/>
  <c r="C114" i="4"/>
  <c r="B114" i="4"/>
  <c r="T104" i="4"/>
  <c r="AE104" i="4" s="1"/>
  <c r="S104" i="4"/>
  <c r="AD104" i="4" s="1"/>
  <c r="R104" i="4"/>
  <c r="AC104" i="4" s="1"/>
  <c r="Q104" i="4"/>
  <c r="AB104" i="4" s="1"/>
  <c r="N104" i="4"/>
  <c r="Y104" i="4" s="1"/>
  <c r="T98" i="4"/>
  <c r="AE98" i="4" s="1"/>
  <c r="S98" i="4"/>
  <c r="AD98" i="4" s="1"/>
  <c r="R98" i="4"/>
  <c r="AC98" i="4" s="1"/>
  <c r="Q98" i="4"/>
  <c r="AB98" i="4" s="1"/>
  <c r="E91" i="4"/>
  <c r="P104" i="4" s="1"/>
  <c r="AA104" i="4" s="1"/>
  <c r="D91" i="4"/>
  <c r="O104" i="4" s="1"/>
  <c r="Z104" i="4" s="1"/>
  <c r="C91" i="4"/>
  <c r="N98" i="4" s="1"/>
  <c r="Y98" i="4" s="1"/>
  <c r="B91" i="4"/>
  <c r="M104" i="4" s="1"/>
  <c r="X104" i="4" s="1"/>
  <c r="AD81" i="4"/>
  <c r="Z81" i="4"/>
  <c r="T81" i="4"/>
  <c r="AE81" i="4" s="1"/>
  <c r="S81" i="4"/>
  <c r="R81" i="4"/>
  <c r="AC81" i="4" s="1"/>
  <c r="Q81" i="4"/>
  <c r="AB81" i="4" s="1"/>
  <c r="P81" i="4"/>
  <c r="AA81" i="4" s="1"/>
  <c r="O81" i="4"/>
  <c r="N81" i="4"/>
  <c r="Y81" i="4" s="1"/>
  <c r="M81" i="4"/>
  <c r="X81" i="4" s="1"/>
  <c r="J81" i="4"/>
  <c r="AC75" i="4"/>
  <c r="Y75" i="4"/>
  <c r="T75" i="4"/>
  <c r="AE75" i="4" s="1"/>
  <c r="S75" i="4"/>
  <c r="AD75" i="4" s="1"/>
  <c r="R75" i="4"/>
  <c r="Q75" i="4"/>
  <c r="AB75" i="4" s="1"/>
  <c r="P75" i="4"/>
  <c r="AA75" i="4" s="1"/>
  <c r="O75" i="4"/>
  <c r="Z75" i="4" s="1"/>
  <c r="N75" i="4"/>
  <c r="M75" i="4"/>
  <c r="X75" i="4" s="1"/>
  <c r="J75" i="4"/>
  <c r="J68" i="4"/>
  <c r="B57" i="4"/>
  <c r="N50" i="4"/>
  <c r="Y50" i="4" s="1"/>
  <c r="I50" i="4"/>
  <c r="H50" i="4"/>
  <c r="G50" i="4"/>
  <c r="F50" i="4"/>
  <c r="E50" i="4"/>
  <c r="D50" i="4"/>
  <c r="C50" i="4"/>
  <c r="B50" i="4"/>
  <c r="J50" i="4" s="1"/>
  <c r="AA49" i="4"/>
  <c r="Q49" i="4"/>
  <c r="AB49" i="4" s="1"/>
  <c r="P49" i="4"/>
  <c r="O49" i="4"/>
  <c r="Z49" i="4" s="1"/>
  <c r="N49" i="4"/>
  <c r="Y49" i="4" s="1"/>
  <c r="M49" i="4"/>
  <c r="X49" i="4" s="1"/>
  <c r="J49" i="4"/>
  <c r="AD48" i="4"/>
  <c r="Z48" i="4"/>
  <c r="T48" i="4"/>
  <c r="AE48" i="4" s="1"/>
  <c r="S48" i="4"/>
  <c r="R48" i="4"/>
  <c r="AC48" i="4" s="1"/>
  <c r="P48" i="4"/>
  <c r="AA48" i="4" s="1"/>
  <c r="J48" i="4"/>
  <c r="C41" i="4"/>
  <c r="G40" i="4"/>
  <c r="E39" i="4"/>
  <c r="E41" i="4" s="1"/>
  <c r="P50" i="4" s="1"/>
  <c r="AA50" i="4" s="1"/>
  <c r="D39" i="4"/>
  <c r="O48" i="4" s="1"/>
  <c r="C39" i="4"/>
  <c r="N48" i="4" s="1"/>
  <c r="Y48" i="4" s="1"/>
  <c r="B39" i="4"/>
  <c r="B32" i="4"/>
  <c r="X31" i="4"/>
  <c r="R25" i="4"/>
  <c r="AC25" i="4" s="1"/>
  <c r="I25" i="4"/>
  <c r="H25" i="4"/>
  <c r="G25" i="4"/>
  <c r="F25" i="4"/>
  <c r="E25" i="4"/>
  <c r="D25" i="4"/>
  <c r="C25" i="4"/>
  <c r="B25" i="4"/>
  <c r="J25" i="4" s="1"/>
  <c r="AE24" i="4"/>
  <c r="AA24" i="4"/>
  <c r="U24" i="4"/>
  <c r="AF24" i="4" s="1"/>
  <c r="T24" i="4"/>
  <c r="S24" i="4"/>
  <c r="AD24" i="4" s="1"/>
  <c r="R24" i="4"/>
  <c r="AC24" i="4" s="1"/>
  <c r="Q24" i="4"/>
  <c r="AB24" i="4" s="1"/>
  <c r="P24" i="4"/>
  <c r="O24" i="4"/>
  <c r="Z24" i="4" s="1"/>
  <c r="N24" i="4"/>
  <c r="Y24" i="4" s="1"/>
  <c r="M24" i="4"/>
  <c r="X24" i="4" s="1"/>
  <c r="J24" i="4"/>
  <c r="AD23" i="4"/>
  <c r="Z23" i="4"/>
  <c r="T23" i="4"/>
  <c r="AE23" i="4" s="1"/>
  <c r="S23" i="4"/>
  <c r="R23" i="4"/>
  <c r="AC23" i="4" s="1"/>
  <c r="P23" i="4"/>
  <c r="AA23" i="4" s="1"/>
  <c r="O23" i="4"/>
  <c r="N23" i="4"/>
  <c r="Y23" i="4" s="1"/>
  <c r="M23" i="4"/>
  <c r="X23" i="4" s="1"/>
  <c r="J23" i="4"/>
  <c r="I16" i="4"/>
  <c r="T25" i="4" s="1"/>
  <c r="AE25" i="4" s="1"/>
  <c r="H16" i="4"/>
  <c r="S25" i="4" s="1"/>
  <c r="AD25" i="4" s="1"/>
  <c r="G16" i="4"/>
  <c r="E16" i="4"/>
  <c r="P25" i="4" s="1"/>
  <c r="AA25" i="4" s="1"/>
  <c r="D16" i="4"/>
  <c r="O25" i="4" s="1"/>
  <c r="Z25" i="4" s="1"/>
  <c r="C16" i="4"/>
  <c r="N25" i="4" s="1"/>
  <c r="Y25" i="4" s="1"/>
  <c r="B16" i="4"/>
  <c r="M25" i="4" s="1"/>
  <c r="X25" i="4" s="1"/>
  <c r="J15" i="4"/>
  <c r="M31" i="4" s="1"/>
  <c r="J14" i="4"/>
  <c r="F16" i="4"/>
  <c r="Q25" i="4" s="1"/>
  <c r="AB25" i="4" s="1"/>
  <c r="F83" i="3"/>
  <c r="B83" i="3"/>
  <c r="C83" i="3" s="1"/>
  <c r="D83" i="3" s="1"/>
  <c r="E83" i="3" s="1"/>
  <c r="I82" i="3"/>
  <c r="H82" i="3"/>
  <c r="H83" i="3" s="1"/>
  <c r="G82" i="3"/>
  <c r="G83" i="3" s="1"/>
  <c r="AC47" i="3"/>
  <c r="AB47" i="3"/>
  <c r="AA47" i="3"/>
  <c r="W47" i="3"/>
  <c r="S47" i="3"/>
  <c r="R47" i="3"/>
  <c r="Q47" i="3"/>
  <c r="M47" i="3"/>
  <c r="I40" i="3"/>
  <c r="S48" i="3" s="1"/>
  <c r="H40" i="3"/>
  <c r="R48" i="3" s="1"/>
  <c r="G40" i="3"/>
  <c r="Q48" i="3" s="1"/>
  <c r="C40" i="3"/>
  <c r="M48" i="3" s="1"/>
  <c r="Z47" i="3"/>
  <c r="E39" i="3"/>
  <c r="Y47" i="3" s="1"/>
  <c r="D39" i="3"/>
  <c r="C39" i="3"/>
  <c r="B39" i="3"/>
  <c r="V47" i="3" s="1"/>
  <c r="V30" i="3"/>
  <c r="C25" i="3"/>
  <c r="D25" i="3" s="1"/>
  <c r="E25" i="3" s="1"/>
  <c r="F25" i="3" s="1"/>
  <c r="G25" i="3" s="1"/>
  <c r="H25" i="3" s="1"/>
  <c r="I25" i="3" s="1"/>
  <c r="B25" i="3"/>
  <c r="I24" i="3"/>
  <c r="H24" i="3"/>
  <c r="G24" i="3"/>
  <c r="F24" i="3"/>
  <c r="E24" i="3"/>
  <c r="D24" i="3"/>
  <c r="C24" i="3"/>
  <c r="B24" i="3"/>
  <c r="AC23" i="3"/>
  <c r="AB23" i="3"/>
  <c r="AA23" i="3"/>
  <c r="X23" i="3"/>
  <c r="W23" i="3"/>
  <c r="S23" i="3"/>
  <c r="R23" i="3"/>
  <c r="Q23" i="3"/>
  <c r="M23" i="3"/>
  <c r="H14" i="3"/>
  <c r="I12" i="3" s="1"/>
  <c r="I14" i="3" s="1"/>
  <c r="C14" i="3"/>
  <c r="D30" i="6"/>
  <c r="E13" i="3"/>
  <c r="D13" i="3"/>
  <c r="N23" i="3" s="1"/>
  <c r="C13" i="3"/>
  <c r="B13" i="3"/>
  <c r="V23" i="3" s="1"/>
  <c r="D12" i="3"/>
  <c r="D14" i="3" s="1"/>
  <c r="E12" i="3" s="1"/>
  <c r="E14" i="3" s="1"/>
  <c r="F12" i="3" s="1"/>
  <c r="F14" i="3" s="1"/>
  <c r="G12" i="3" s="1"/>
  <c r="G14" i="3" s="1"/>
  <c r="H12" i="3" s="1"/>
  <c r="C12" i="3"/>
  <c r="B12" i="3"/>
  <c r="B14" i="3" s="1"/>
  <c r="AH92" i="2"/>
  <c r="AG92" i="2"/>
  <c r="AF92" i="2"/>
  <c r="AE92" i="2"/>
  <c r="V92" i="2"/>
  <c r="U92" i="2"/>
  <c r="T92" i="2"/>
  <c r="S92" i="2"/>
  <c r="K92" i="2"/>
  <c r="AH91" i="2"/>
  <c r="AG91" i="2"/>
  <c r="AF91" i="2"/>
  <c r="AE91" i="2"/>
  <c r="AC91" i="2"/>
  <c r="V91" i="2"/>
  <c r="U91" i="2"/>
  <c r="T91" i="2"/>
  <c r="S91" i="2"/>
  <c r="Q91" i="2"/>
  <c r="K91" i="2"/>
  <c r="AH90" i="2"/>
  <c r="AG90" i="2"/>
  <c r="AF90" i="2"/>
  <c r="AE90" i="2"/>
  <c r="AA90" i="2"/>
  <c r="V90" i="2"/>
  <c r="U90" i="2"/>
  <c r="T90" i="2"/>
  <c r="S90" i="2"/>
  <c r="K90" i="2"/>
  <c r="AH89" i="2"/>
  <c r="AG89" i="2"/>
  <c r="AF89" i="2"/>
  <c r="AE89" i="2"/>
  <c r="AD89" i="2"/>
  <c r="V89" i="2"/>
  <c r="U89" i="2"/>
  <c r="T89" i="2"/>
  <c r="S89" i="2"/>
  <c r="P89" i="2"/>
  <c r="K89" i="2"/>
  <c r="AH88" i="2"/>
  <c r="AG88" i="2"/>
  <c r="AF88" i="2"/>
  <c r="AE88" i="2"/>
  <c r="AC88" i="2"/>
  <c r="V88" i="2"/>
  <c r="U88" i="2"/>
  <c r="T88" i="2"/>
  <c r="S88" i="2"/>
  <c r="K88" i="2"/>
  <c r="AH87" i="2"/>
  <c r="AG87" i="2"/>
  <c r="AF87" i="2"/>
  <c r="AE87" i="2"/>
  <c r="AC87" i="2"/>
  <c r="V87" i="2"/>
  <c r="U87" i="2"/>
  <c r="T87" i="2"/>
  <c r="S87" i="2"/>
  <c r="Q87" i="2"/>
  <c r="K87" i="2"/>
  <c r="AH86" i="2"/>
  <c r="AG86" i="2"/>
  <c r="AF86" i="2"/>
  <c r="AE86" i="2"/>
  <c r="AA86" i="2"/>
  <c r="V86" i="2"/>
  <c r="U86" i="2"/>
  <c r="T86" i="2"/>
  <c r="S86" i="2"/>
  <c r="Q86" i="2"/>
  <c r="K86" i="2"/>
  <c r="AH83" i="2"/>
  <c r="AG83" i="2"/>
  <c r="AF83" i="2"/>
  <c r="AD83" i="2"/>
  <c r="V83" i="2"/>
  <c r="U83" i="2"/>
  <c r="T83" i="2"/>
  <c r="P83" i="2"/>
  <c r="K83" i="2"/>
  <c r="AH82" i="2"/>
  <c r="AG82" i="2"/>
  <c r="AF82" i="2"/>
  <c r="V82" i="2"/>
  <c r="U82" i="2"/>
  <c r="T82" i="2"/>
  <c r="S82" i="2"/>
  <c r="R82" i="2"/>
  <c r="K82" i="2"/>
  <c r="AH81" i="2"/>
  <c r="AG81" i="2"/>
  <c r="AF81" i="2"/>
  <c r="AB81" i="2"/>
  <c r="V81" i="2"/>
  <c r="U81" i="2"/>
  <c r="T81" i="2"/>
  <c r="Q81" i="2"/>
  <c r="K81" i="2"/>
  <c r="AH80" i="2"/>
  <c r="AG80" i="2"/>
  <c r="AF80" i="2"/>
  <c r="AA80" i="2"/>
  <c r="V80" i="2"/>
  <c r="U80" i="2"/>
  <c r="T80" i="2"/>
  <c r="K80" i="2"/>
  <c r="AH79" i="2"/>
  <c r="AG79" i="2"/>
  <c r="AF79" i="2"/>
  <c r="AE79" i="2"/>
  <c r="V79" i="2"/>
  <c r="U79" i="2"/>
  <c r="T79" i="2"/>
  <c r="P79" i="2"/>
  <c r="K79" i="2"/>
  <c r="AG78" i="2"/>
  <c r="AD78" i="2"/>
  <c r="V78" i="2"/>
  <c r="K78" i="2"/>
  <c r="AH77" i="2"/>
  <c r="AG77" i="2"/>
  <c r="AF77" i="2"/>
  <c r="AC77" i="2"/>
  <c r="AB77" i="2"/>
  <c r="V77" i="2"/>
  <c r="U77" i="2"/>
  <c r="T77" i="2"/>
  <c r="R77" i="2"/>
  <c r="K77" i="2"/>
  <c r="AH76" i="2"/>
  <c r="AG76" i="2"/>
  <c r="AF76" i="2"/>
  <c r="AB76" i="2"/>
  <c r="V76" i="2"/>
  <c r="U76" i="2"/>
  <c r="T76" i="2"/>
  <c r="K76" i="2"/>
  <c r="AH72" i="2"/>
  <c r="AG72" i="2"/>
  <c r="AF72" i="2"/>
  <c r="V72" i="2"/>
  <c r="U72" i="2"/>
  <c r="T72" i="2"/>
  <c r="Q72" i="2"/>
  <c r="K72" i="2"/>
  <c r="AH71" i="2"/>
  <c r="AG71" i="2"/>
  <c r="AF71" i="2"/>
  <c r="AA71" i="2"/>
  <c r="V71" i="2"/>
  <c r="U71" i="2"/>
  <c r="T71" i="2"/>
  <c r="K71" i="2"/>
  <c r="AH63" i="2"/>
  <c r="AG63" i="2"/>
  <c r="AF63" i="2"/>
  <c r="AE63" i="2"/>
  <c r="AD63" i="2"/>
  <c r="AA63" i="2"/>
  <c r="V63" i="2"/>
  <c r="U63" i="2"/>
  <c r="T63" i="2"/>
  <c r="S63" i="2"/>
  <c r="O63" i="2"/>
  <c r="K63" i="2"/>
  <c r="AH62" i="2"/>
  <c r="AG62" i="2"/>
  <c r="AF62" i="2"/>
  <c r="AE62" i="2"/>
  <c r="V62" i="2"/>
  <c r="U62" i="2"/>
  <c r="T62" i="2"/>
  <c r="S62" i="2"/>
  <c r="K62" i="2"/>
  <c r="AH61" i="2"/>
  <c r="AG61" i="2"/>
  <c r="AF61" i="2"/>
  <c r="AE61" i="2"/>
  <c r="V61" i="2"/>
  <c r="U61" i="2"/>
  <c r="T61" i="2"/>
  <c r="S61" i="2"/>
  <c r="K61" i="2"/>
  <c r="AH60" i="2"/>
  <c r="AG60" i="2"/>
  <c r="AF60" i="2"/>
  <c r="AE60" i="2"/>
  <c r="V60" i="2"/>
  <c r="U60" i="2"/>
  <c r="T60" i="2"/>
  <c r="S60" i="2"/>
  <c r="Q60" i="2"/>
  <c r="P60" i="2"/>
  <c r="K60" i="2"/>
  <c r="AH59" i="2"/>
  <c r="AG59" i="2"/>
  <c r="AF59" i="2"/>
  <c r="AE59" i="2"/>
  <c r="AD59" i="2"/>
  <c r="AA59" i="2"/>
  <c r="V59" i="2"/>
  <c r="U59" i="2"/>
  <c r="T59" i="2"/>
  <c r="S59" i="2"/>
  <c r="O59" i="2"/>
  <c r="K59" i="2"/>
  <c r="AH58" i="2"/>
  <c r="AG58" i="2"/>
  <c r="AF58" i="2"/>
  <c r="AE58" i="2"/>
  <c r="AC58" i="2"/>
  <c r="AB58" i="2"/>
  <c r="V58" i="2"/>
  <c r="U58" i="2"/>
  <c r="T58" i="2"/>
  <c r="S58" i="2"/>
  <c r="R58" i="2"/>
  <c r="Q58" i="2"/>
  <c r="K58" i="2"/>
  <c r="AH57" i="2"/>
  <c r="AG57" i="2"/>
  <c r="AF57" i="2"/>
  <c r="AE57" i="2"/>
  <c r="AB57" i="2"/>
  <c r="AA57" i="2"/>
  <c r="V57" i="2"/>
  <c r="U57" i="2"/>
  <c r="T57" i="2"/>
  <c r="S57" i="2"/>
  <c r="Q57" i="2"/>
  <c r="P57" i="2"/>
  <c r="K57" i="2"/>
  <c r="AH54" i="2"/>
  <c r="AG54" i="2"/>
  <c r="AF54" i="2"/>
  <c r="AD54" i="2"/>
  <c r="V54" i="2"/>
  <c r="U54" i="2"/>
  <c r="T54" i="2"/>
  <c r="S54" i="2"/>
  <c r="P54" i="2"/>
  <c r="K54" i="2"/>
  <c r="AH53" i="2"/>
  <c r="AG53" i="2"/>
  <c r="AF53" i="2"/>
  <c r="AD53" i="2"/>
  <c r="V53" i="2"/>
  <c r="U53" i="2"/>
  <c r="T53" i="2"/>
  <c r="S53" i="2"/>
  <c r="R53" i="2"/>
  <c r="O53" i="2"/>
  <c r="K53" i="2"/>
  <c r="AH52" i="2"/>
  <c r="AG52" i="2"/>
  <c r="AF52" i="2"/>
  <c r="AC52" i="2"/>
  <c r="AB52" i="2"/>
  <c r="V52" i="2"/>
  <c r="U52" i="2"/>
  <c r="T52" i="2"/>
  <c r="Q52" i="2"/>
  <c r="K52" i="2"/>
  <c r="AH51" i="2"/>
  <c r="AG51" i="2"/>
  <c r="AF51" i="2"/>
  <c r="AE51" i="2"/>
  <c r="AA51" i="2"/>
  <c r="V51" i="2"/>
  <c r="U51" i="2"/>
  <c r="T51" i="2"/>
  <c r="K51" i="2"/>
  <c r="AH50" i="2"/>
  <c r="AG50" i="2"/>
  <c r="AF50" i="2"/>
  <c r="AA50" i="2"/>
  <c r="V50" i="2"/>
  <c r="U50" i="2"/>
  <c r="T50" i="2"/>
  <c r="S50" i="2"/>
  <c r="P50" i="2"/>
  <c r="K50" i="2"/>
  <c r="AH49" i="2"/>
  <c r="AG49" i="2"/>
  <c r="AD49" i="2"/>
  <c r="AC49" i="2"/>
  <c r="V49" i="2"/>
  <c r="R49" i="2"/>
  <c r="K49" i="2"/>
  <c r="AH48" i="2"/>
  <c r="AG48" i="2"/>
  <c r="AF48" i="2"/>
  <c r="AB48" i="2"/>
  <c r="V48" i="2"/>
  <c r="U48" i="2"/>
  <c r="T48" i="2"/>
  <c r="R48" i="2"/>
  <c r="Q48" i="2"/>
  <c r="K48" i="2"/>
  <c r="AH47" i="2"/>
  <c r="AG47" i="2"/>
  <c r="AF47" i="2"/>
  <c r="AB47" i="2"/>
  <c r="AA47" i="2"/>
  <c r="V47" i="2"/>
  <c r="U47" i="2"/>
  <c r="T47" i="2"/>
  <c r="Q47" i="2"/>
  <c r="P47" i="2"/>
  <c r="K47" i="2"/>
  <c r="AH44" i="2"/>
  <c r="AE44" i="2"/>
  <c r="AD44" i="2"/>
  <c r="AA44" i="2"/>
  <c r="T44" i="2"/>
  <c r="S44" i="2"/>
  <c r="P44" i="2"/>
  <c r="O44" i="2"/>
  <c r="K44" i="2"/>
  <c r="AH43" i="2"/>
  <c r="AG43" i="2"/>
  <c r="AF43" i="2"/>
  <c r="AC43" i="2"/>
  <c r="V43" i="2"/>
  <c r="U43" i="2"/>
  <c r="T43" i="2"/>
  <c r="O43" i="2"/>
  <c r="K43" i="2"/>
  <c r="AH42" i="2"/>
  <c r="AG42" i="2"/>
  <c r="AF42" i="2"/>
  <c r="V42" i="2"/>
  <c r="U42" i="2"/>
  <c r="T42" i="2"/>
  <c r="R42" i="2"/>
  <c r="K42" i="2"/>
  <c r="R63" i="2"/>
  <c r="F34" i="2"/>
  <c r="E34" i="2"/>
  <c r="D34" i="2"/>
  <c r="C34" i="2"/>
  <c r="AA92" i="2" s="1"/>
  <c r="F33" i="2"/>
  <c r="E33" i="2"/>
  <c r="Q62" i="2" s="1"/>
  <c r="D33" i="2"/>
  <c r="C33" i="2"/>
  <c r="F32" i="2"/>
  <c r="E32" i="2"/>
  <c r="D32" i="2"/>
  <c r="AB61" i="2" s="1"/>
  <c r="C32" i="2"/>
  <c r="F31" i="2"/>
  <c r="E31" i="2"/>
  <c r="D31" i="2"/>
  <c r="AB89" i="2" s="1"/>
  <c r="C31" i="2"/>
  <c r="R59" i="2"/>
  <c r="F30" i="2"/>
  <c r="E30" i="2"/>
  <c r="D30" i="2"/>
  <c r="C30" i="2"/>
  <c r="AA88" i="2" s="1"/>
  <c r="F29" i="2"/>
  <c r="E29" i="2"/>
  <c r="D29" i="2"/>
  <c r="P87" i="2" s="1"/>
  <c r="C29" i="2"/>
  <c r="R57" i="2"/>
  <c r="F28" i="2"/>
  <c r="E28" i="2"/>
  <c r="D28" i="2"/>
  <c r="C28" i="2"/>
  <c r="O86" i="2" s="1"/>
  <c r="F25" i="2"/>
  <c r="E25" i="2"/>
  <c r="Q54" i="2" s="1"/>
  <c r="D25" i="2"/>
  <c r="AB83" i="2" s="1"/>
  <c r="C25" i="2"/>
  <c r="AE53" i="2"/>
  <c r="F24" i="2"/>
  <c r="AD82" i="2" s="1"/>
  <c r="E24" i="2"/>
  <c r="D24" i="2"/>
  <c r="C24" i="2"/>
  <c r="AA53" i="2" s="1"/>
  <c r="F23" i="2"/>
  <c r="E23" i="2"/>
  <c r="AC81" i="2" s="1"/>
  <c r="D23" i="2"/>
  <c r="P81" i="2" s="1"/>
  <c r="C23" i="2"/>
  <c r="S80" i="2"/>
  <c r="F22" i="2"/>
  <c r="E22" i="2"/>
  <c r="D22" i="2"/>
  <c r="C22" i="2"/>
  <c r="O80" i="2" s="1"/>
  <c r="S79" i="2"/>
  <c r="F21" i="2"/>
  <c r="AD79" i="2" s="1"/>
  <c r="E21" i="2"/>
  <c r="Q50" i="2" s="1"/>
  <c r="D21" i="2"/>
  <c r="AB79" i="2" s="1"/>
  <c r="C21" i="2"/>
  <c r="J20" i="2"/>
  <c r="AH78" i="2" s="1"/>
  <c r="I20" i="2"/>
  <c r="U78" i="2" s="1"/>
  <c r="H20" i="2"/>
  <c r="F20" i="2"/>
  <c r="R78" i="2" s="1"/>
  <c r="E20" i="2"/>
  <c r="Q78" i="2" s="1"/>
  <c r="D20" i="2"/>
  <c r="C20" i="2"/>
  <c r="F19" i="2"/>
  <c r="E19" i="2"/>
  <c r="Q77" i="2" s="1"/>
  <c r="D19" i="2"/>
  <c r="P77" i="2" s="1"/>
  <c r="C19" i="2"/>
  <c r="F18" i="2"/>
  <c r="R47" i="2" s="1"/>
  <c r="E18" i="2"/>
  <c r="AC76" i="2" s="1"/>
  <c r="D18" i="2"/>
  <c r="P76" i="2" s="1"/>
  <c r="C18" i="2"/>
  <c r="V44" i="2"/>
  <c r="AF44" i="2"/>
  <c r="R44" i="2"/>
  <c r="AB44" i="2"/>
  <c r="F14" i="2"/>
  <c r="R43" i="2" s="1"/>
  <c r="E14" i="2"/>
  <c r="AC72" i="2" s="1"/>
  <c r="D14" i="2"/>
  <c r="P72" i="2" s="1"/>
  <c r="C14" i="2"/>
  <c r="S71" i="2"/>
  <c r="F13" i="2"/>
  <c r="E13" i="2"/>
  <c r="D13" i="2"/>
  <c r="C13" i="2"/>
  <c r="O71" i="2" s="1"/>
  <c r="E231" i="1"/>
  <c r="J230" i="1"/>
  <c r="J229" i="1"/>
  <c r="J228" i="1"/>
  <c r="I227" i="1"/>
  <c r="I231" i="1" s="1"/>
  <c r="I232" i="1" s="1"/>
  <c r="F227" i="1"/>
  <c r="F231" i="1" s="1"/>
  <c r="F232" i="1" s="1"/>
  <c r="E227" i="1"/>
  <c r="B227" i="1"/>
  <c r="B231" i="1" s="1"/>
  <c r="G226" i="1"/>
  <c r="F226" i="1"/>
  <c r="B226" i="1"/>
  <c r="I225" i="1"/>
  <c r="I226" i="1" s="1"/>
  <c r="H225" i="1"/>
  <c r="G225" i="1"/>
  <c r="G227" i="1" s="1"/>
  <c r="G231" i="1" s="1"/>
  <c r="F225" i="1"/>
  <c r="E225" i="1"/>
  <c r="E226" i="1" s="1"/>
  <c r="D225" i="1"/>
  <c r="C225" i="1"/>
  <c r="C227" i="1" s="1"/>
  <c r="C231" i="1" s="1"/>
  <c r="B225" i="1"/>
  <c r="J224" i="1"/>
  <c r="J223" i="1"/>
  <c r="J222" i="1"/>
  <c r="J221" i="1"/>
  <c r="J220" i="1"/>
  <c r="F219" i="1"/>
  <c r="B219" i="1"/>
  <c r="J218" i="1"/>
  <c r="J217" i="1"/>
  <c r="I216" i="1"/>
  <c r="I219" i="1" s="1"/>
  <c r="H216" i="1"/>
  <c r="H219" i="1" s="1"/>
  <c r="G216" i="1"/>
  <c r="G219" i="1" s="1"/>
  <c r="F216" i="1"/>
  <c r="E216" i="1"/>
  <c r="E219" i="1" s="1"/>
  <c r="D216" i="1"/>
  <c r="D219" i="1" s="1"/>
  <c r="C216" i="1"/>
  <c r="C219" i="1" s="1"/>
  <c r="B216" i="1"/>
  <c r="I215" i="1"/>
  <c r="F215" i="1"/>
  <c r="B215" i="1"/>
  <c r="J214" i="1"/>
  <c r="J213" i="1"/>
  <c r="I212" i="1"/>
  <c r="H212" i="1"/>
  <c r="G212" i="1"/>
  <c r="F212" i="1"/>
  <c r="E212" i="1"/>
  <c r="E215" i="1" s="1"/>
  <c r="D212" i="1"/>
  <c r="C212" i="1"/>
  <c r="B212" i="1"/>
  <c r="J211" i="1"/>
  <c r="J210" i="1"/>
  <c r="I209" i="1"/>
  <c r="H209" i="1"/>
  <c r="G209" i="1"/>
  <c r="G215" i="1" s="1"/>
  <c r="F209" i="1"/>
  <c r="E209" i="1"/>
  <c r="D209" i="1"/>
  <c r="C209" i="1"/>
  <c r="C215" i="1" s="1"/>
  <c r="B209" i="1"/>
  <c r="J209" i="1" s="1"/>
  <c r="J208" i="1"/>
  <c r="I200" i="1"/>
  <c r="H200" i="1"/>
  <c r="G200" i="1"/>
  <c r="F200" i="1"/>
  <c r="E200" i="1"/>
  <c r="D200" i="1"/>
  <c r="C200" i="1"/>
  <c r="B200" i="1"/>
  <c r="J199" i="1"/>
  <c r="J198" i="1"/>
  <c r="J197" i="1"/>
  <c r="J196" i="1"/>
  <c r="J195" i="1"/>
  <c r="J194" i="1"/>
  <c r="J193" i="1"/>
  <c r="J192" i="1"/>
  <c r="J200" i="1" s="1"/>
  <c r="AF138" i="1"/>
  <c r="AE138" i="1"/>
  <c r="AD138" i="1"/>
  <c r="AC138" i="1"/>
  <c r="AB138" i="1"/>
  <c r="AA138" i="1"/>
  <c r="Z138" i="1"/>
  <c r="Y138" i="1"/>
  <c r="X138" i="1"/>
  <c r="S136" i="1"/>
  <c r="AD136" i="1" s="1"/>
  <c r="R136" i="1"/>
  <c r="AC136" i="1" s="1"/>
  <c r="U136" i="1"/>
  <c r="AF136" i="1" s="1"/>
  <c r="T136" i="1"/>
  <c r="AE136" i="1" s="1"/>
  <c r="I104" i="1"/>
  <c r="H104" i="1"/>
  <c r="E104" i="1"/>
  <c r="C104" i="1"/>
  <c r="J102" i="1"/>
  <c r="I102" i="1"/>
  <c r="H102" i="1"/>
  <c r="G102" i="1"/>
  <c r="G104" i="1" s="1"/>
  <c r="F102" i="1"/>
  <c r="F104" i="1" s="1"/>
  <c r="E102" i="1"/>
  <c r="D102" i="1"/>
  <c r="D104" i="1" s="1"/>
  <c r="C102" i="1"/>
  <c r="B102" i="1"/>
  <c r="B104" i="1" s="1"/>
  <c r="P101" i="1"/>
  <c r="AA101" i="1" s="1"/>
  <c r="AA100" i="1"/>
  <c r="P100" i="1"/>
  <c r="AD97" i="1"/>
  <c r="AA97" i="1"/>
  <c r="T97" i="1"/>
  <c r="AE97" i="1" s="1"/>
  <c r="S97" i="1"/>
  <c r="N97" i="1"/>
  <c r="Y97" i="1" s="1"/>
  <c r="R93" i="1"/>
  <c r="AC93" i="1" s="1"/>
  <c r="AD92" i="1"/>
  <c r="T92" i="1"/>
  <c r="AE92" i="1" s="1"/>
  <c r="S92" i="1"/>
  <c r="R92" i="1"/>
  <c r="AC92" i="1" s="1"/>
  <c r="AD91" i="1"/>
  <c r="T91" i="1"/>
  <c r="AE91" i="1" s="1"/>
  <c r="S91" i="1"/>
  <c r="R91" i="1"/>
  <c r="AC91" i="1" s="1"/>
  <c r="AD90" i="1"/>
  <c r="T90" i="1"/>
  <c r="AE90" i="1" s="1"/>
  <c r="S90" i="1"/>
  <c r="R90" i="1"/>
  <c r="AC90" i="1" s="1"/>
  <c r="AD89" i="1"/>
  <c r="T89" i="1"/>
  <c r="AE89" i="1" s="1"/>
  <c r="S89" i="1"/>
  <c r="R89" i="1"/>
  <c r="AC89" i="1" s="1"/>
  <c r="AF88" i="1"/>
  <c r="AE88" i="1"/>
  <c r="AD88" i="1"/>
  <c r="AC88" i="1"/>
  <c r="AB88" i="1"/>
  <c r="AA88" i="1"/>
  <c r="Z88" i="1"/>
  <c r="Y88" i="1"/>
  <c r="X88" i="1"/>
  <c r="AF86" i="1"/>
  <c r="AE86" i="1"/>
  <c r="AD86" i="1"/>
  <c r="AC86" i="1"/>
  <c r="AB86" i="1"/>
  <c r="AA86" i="1"/>
  <c r="Z86" i="1"/>
  <c r="Y86" i="1"/>
  <c r="X86" i="1"/>
  <c r="AD83" i="1"/>
  <c r="T83" i="1"/>
  <c r="AE83" i="1" s="1"/>
  <c r="S83" i="1"/>
  <c r="R83" i="1"/>
  <c r="AC83" i="1" s="1"/>
  <c r="AD82" i="1"/>
  <c r="T82" i="1"/>
  <c r="AE82" i="1" s="1"/>
  <c r="S82" i="1"/>
  <c r="R82" i="1"/>
  <c r="AC82" i="1" s="1"/>
  <c r="N82" i="1"/>
  <c r="Y82" i="1" s="1"/>
  <c r="AD80" i="1"/>
  <c r="T80" i="1"/>
  <c r="AE80" i="1" s="1"/>
  <c r="S80" i="1"/>
  <c r="R80" i="1"/>
  <c r="AC80" i="1" s="1"/>
  <c r="AD79" i="1"/>
  <c r="T79" i="1"/>
  <c r="AE79" i="1" s="1"/>
  <c r="S79" i="1"/>
  <c r="R79" i="1"/>
  <c r="AC79" i="1" s="1"/>
  <c r="AD78" i="1"/>
  <c r="T78" i="1"/>
  <c r="AE78" i="1" s="1"/>
  <c r="S78" i="1"/>
  <c r="R78" i="1"/>
  <c r="AC78" i="1" s="1"/>
  <c r="AD77" i="1"/>
  <c r="X77" i="1"/>
  <c r="T77" i="1"/>
  <c r="AE77" i="1" s="1"/>
  <c r="S77" i="1"/>
  <c r="R77" i="1"/>
  <c r="AC77" i="1" s="1"/>
  <c r="AD76" i="1"/>
  <c r="T76" i="1"/>
  <c r="AE76" i="1" s="1"/>
  <c r="S76" i="1"/>
  <c r="R76" i="1"/>
  <c r="AC76" i="1" s="1"/>
  <c r="AD75" i="1"/>
  <c r="AC75" i="1"/>
  <c r="T75" i="1"/>
  <c r="AE75" i="1" s="1"/>
  <c r="S75" i="1"/>
  <c r="R75" i="1"/>
  <c r="AE74" i="1"/>
  <c r="AD74" i="1"/>
  <c r="T74" i="1"/>
  <c r="S74" i="1"/>
  <c r="R74" i="1"/>
  <c r="AC74" i="1" s="1"/>
  <c r="AE72" i="1"/>
  <c r="T72" i="1"/>
  <c r="S72" i="1"/>
  <c r="AD72" i="1" s="1"/>
  <c r="R72" i="1"/>
  <c r="AC72" i="1" s="1"/>
  <c r="AE71" i="1"/>
  <c r="AD71" i="1"/>
  <c r="T71" i="1"/>
  <c r="S71" i="1"/>
  <c r="R71" i="1"/>
  <c r="AC71" i="1" s="1"/>
  <c r="AC70" i="1"/>
  <c r="T70" i="1"/>
  <c r="AE70" i="1" s="1"/>
  <c r="S70" i="1"/>
  <c r="AD70" i="1" s="1"/>
  <c r="R70" i="1"/>
  <c r="AC68" i="1"/>
  <c r="T68" i="1"/>
  <c r="AE68" i="1" s="1"/>
  <c r="S68" i="1"/>
  <c r="AD68" i="1" s="1"/>
  <c r="R68" i="1"/>
  <c r="O68" i="1"/>
  <c r="Z68" i="1" s="1"/>
  <c r="AE67" i="1"/>
  <c r="AD67" i="1"/>
  <c r="T67" i="1"/>
  <c r="S67" i="1"/>
  <c r="R67" i="1"/>
  <c r="AC67" i="1" s="1"/>
  <c r="Q67" i="1"/>
  <c r="AB67" i="1" s="1"/>
  <c r="M67" i="1"/>
  <c r="X67" i="1" s="1"/>
  <c r="AC66" i="1"/>
  <c r="T66" i="1"/>
  <c r="AE66" i="1" s="1"/>
  <c r="S66" i="1"/>
  <c r="AD66" i="1" s="1"/>
  <c r="R66" i="1"/>
  <c r="O66" i="1"/>
  <c r="Z66" i="1" s="1"/>
  <c r="AE65" i="1"/>
  <c r="AD65" i="1"/>
  <c r="T65" i="1"/>
  <c r="S65" i="1"/>
  <c r="R65" i="1"/>
  <c r="AC65" i="1" s="1"/>
  <c r="Q65" i="1"/>
  <c r="AB65" i="1" s="1"/>
  <c r="M65" i="1"/>
  <c r="X65" i="1" s="1"/>
  <c r="AC64" i="1"/>
  <c r="T64" i="1"/>
  <c r="AE64" i="1" s="1"/>
  <c r="S64" i="1"/>
  <c r="AD64" i="1" s="1"/>
  <c r="R64" i="1"/>
  <c r="O64" i="1"/>
  <c r="Z64" i="1" s="1"/>
  <c r="AE63" i="1"/>
  <c r="AD63" i="1"/>
  <c r="T63" i="1"/>
  <c r="S63" i="1"/>
  <c r="R63" i="1"/>
  <c r="AC63" i="1" s="1"/>
  <c r="Q63" i="1"/>
  <c r="AB63" i="1" s="1"/>
  <c r="M63" i="1"/>
  <c r="X63" i="1" s="1"/>
  <c r="AC62" i="1"/>
  <c r="T62" i="1"/>
  <c r="AE62" i="1" s="1"/>
  <c r="S62" i="1"/>
  <c r="AD62" i="1" s="1"/>
  <c r="R62" i="1"/>
  <c r="O62" i="1"/>
  <c r="Z62" i="1" s="1"/>
  <c r="H51" i="1"/>
  <c r="I51" i="1" s="1"/>
  <c r="T101" i="1" s="1"/>
  <c r="AE101" i="1" s="1"/>
  <c r="G51" i="1"/>
  <c r="E51" i="1"/>
  <c r="D51" i="1"/>
  <c r="O101" i="1" s="1"/>
  <c r="Z101" i="1" s="1"/>
  <c r="C51" i="1"/>
  <c r="N101" i="1" s="1"/>
  <c r="Y101" i="1" s="1"/>
  <c r="B51" i="1"/>
  <c r="M101" i="1" s="1"/>
  <c r="X101" i="1" s="1"/>
  <c r="H50" i="1"/>
  <c r="S100" i="1" s="1"/>
  <c r="AD100" i="1" s="1"/>
  <c r="G50" i="1"/>
  <c r="E50" i="1"/>
  <c r="D50" i="1"/>
  <c r="O100" i="1" s="1"/>
  <c r="Z100" i="1" s="1"/>
  <c r="C50" i="1"/>
  <c r="N100" i="1" s="1"/>
  <c r="Y100" i="1" s="1"/>
  <c r="B50" i="1"/>
  <c r="M100" i="1" s="1"/>
  <c r="X100" i="1" s="1"/>
  <c r="T99" i="1"/>
  <c r="AE99" i="1" s="1"/>
  <c r="S99" i="1"/>
  <c r="AD99" i="1" s="1"/>
  <c r="P99" i="1"/>
  <c r="AA99" i="1" s="1"/>
  <c r="O99" i="1"/>
  <c r="Z99" i="1" s="1"/>
  <c r="N99" i="1"/>
  <c r="Y99" i="1" s="1"/>
  <c r="M99" i="1"/>
  <c r="X99" i="1" s="1"/>
  <c r="G48" i="1"/>
  <c r="P98" i="1"/>
  <c r="AA98" i="1" s="1"/>
  <c r="E48" i="1"/>
  <c r="D48" i="1"/>
  <c r="O98" i="1" s="1"/>
  <c r="Z98" i="1" s="1"/>
  <c r="C48" i="1"/>
  <c r="N98" i="1" s="1"/>
  <c r="Y98" i="1" s="1"/>
  <c r="B48" i="1"/>
  <c r="M98" i="1" s="1"/>
  <c r="X98" i="1" s="1"/>
  <c r="F52" i="1"/>
  <c r="Q102" i="1" s="1"/>
  <c r="AB102" i="1" s="1"/>
  <c r="E47" i="1"/>
  <c r="E52" i="1" s="1"/>
  <c r="P102" i="1" s="1"/>
  <c r="AA102" i="1" s="1"/>
  <c r="D47" i="1"/>
  <c r="O97" i="1" s="1"/>
  <c r="Z97" i="1" s="1"/>
  <c r="C47" i="1"/>
  <c r="M97" i="1"/>
  <c r="X97" i="1" s="1"/>
  <c r="I43" i="1"/>
  <c r="T93" i="1" s="1"/>
  <c r="AE93" i="1" s="1"/>
  <c r="H43" i="1"/>
  <c r="G43" i="1"/>
  <c r="E42" i="1"/>
  <c r="D42" i="1"/>
  <c r="C42" i="1"/>
  <c r="B42" i="1"/>
  <c r="E41" i="1"/>
  <c r="D41" i="1"/>
  <c r="C41" i="1"/>
  <c r="B41" i="1"/>
  <c r="E40" i="1"/>
  <c r="P90" i="1" s="1"/>
  <c r="AA90" i="1" s="1"/>
  <c r="D40" i="1"/>
  <c r="C40" i="1"/>
  <c r="B40" i="1"/>
  <c r="E39" i="1"/>
  <c r="P89" i="1" s="1"/>
  <c r="AA89" i="1" s="1"/>
  <c r="D39" i="1"/>
  <c r="C39" i="1"/>
  <c r="B39" i="1"/>
  <c r="Q136" i="1"/>
  <c r="AB136" i="1" s="1"/>
  <c r="E36" i="1"/>
  <c r="P136" i="1" s="1"/>
  <c r="AA136" i="1" s="1"/>
  <c r="D36" i="1"/>
  <c r="O136" i="1" s="1"/>
  <c r="Z136" i="1" s="1"/>
  <c r="C36" i="1"/>
  <c r="N136" i="1" s="1"/>
  <c r="Y136" i="1" s="1"/>
  <c r="B36" i="1"/>
  <c r="M136" i="1" s="1"/>
  <c r="X136" i="1" s="1"/>
  <c r="G35" i="1"/>
  <c r="I34" i="1"/>
  <c r="H34" i="1"/>
  <c r="G34" i="1"/>
  <c r="E33" i="1"/>
  <c r="D33" i="1"/>
  <c r="C33" i="1"/>
  <c r="N83" i="1" s="1"/>
  <c r="Y83" i="1" s="1"/>
  <c r="B33" i="1"/>
  <c r="F34" i="1"/>
  <c r="E32" i="1"/>
  <c r="P82" i="1" s="1"/>
  <c r="AA82" i="1" s="1"/>
  <c r="D32" i="1"/>
  <c r="D34" i="1" s="1"/>
  <c r="C32" i="1"/>
  <c r="B32" i="1"/>
  <c r="I31" i="1"/>
  <c r="H31" i="1"/>
  <c r="G31" i="1"/>
  <c r="E30" i="1"/>
  <c r="D30" i="1"/>
  <c r="C30" i="1"/>
  <c r="B30" i="1"/>
  <c r="E29" i="1"/>
  <c r="D29" i="1"/>
  <c r="C29" i="1"/>
  <c r="B29" i="1"/>
  <c r="E28" i="1"/>
  <c r="D28" i="1"/>
  <c r="C28" i="1"/>
  <c r="J28" i="1" s="1"/>
  <c r="B28" i="1"/>
  <c r="E27" i="1"/>
  <c r="D27" i="1"/>
  <c r="C27" i="1"/>
  <c r="B27" i="1"/>
  <c r="M77" i="1" s="1"/>
  <c r="E26" i="1"/>
  <c r="D26" i="1"/>
  <c r="C26" i="1"/>
  <c r="B26" i="1"/>
  <c r="E25" i="1"/>
  <c r="D25" i="1"/>
  <c r="C25" i="1"/>
  <c r="J25" i="1" s="1"/>
  <c r="B25" i="1"/>
  <c r="E24" i="1"/>
  <c r="D24" i="1"/>
  <c r="D31" i="1" s="1"/>
  <c r="C24" i="1"/>
  <c r="N74" i="1" s="1"/>
  <c r="Y74" i="1" s="1"/>
  <c r="B24" i="1"/>
  <c r="I23" i="1"/>
  <c r="H23" i="1"/>
  <c r="G23" i="1"/>
  <c r="E22" i="1"/>
  <c r="D22" i="1"/>
  <c r="C22" i="1"/>
  <c r="B22" i="1"/>
  <c r="Q71" i="1"/>
  <c r="AB71" i="1" s="1"/>
  <c r="E21" i="1"/>
  <c r="D21" i="1"/>
  <c r="C21" i="1"/>
  <c r="B21" i="1"/>
  <c r="F23" i="1"/>
  <c r="E20" i="1"/>
  <c r="D20" i="1"/>
  <c r="C20" i="1"/>
  <c r="C23" i="1" s="1"/>
  <c r="B20" i="1"/>
  <c r="I19" i="1"/>
  <c r="H19" i="1"/>
  <c r="S69" i="1" s="1"/>
  <c r="AD69" i="1" s="1"/>
  <c r="G19" i="1"/>
  <c r="Q68" i="1"/>
  <c r="AB68" i="1" s="1"/>
  <c r="E18" i="1"/>
  <c r="D18" i="1"/>
  <c r="C18" i="1"/>
  <c r="B18" i="1"/>
  <c r="E17" i="1"/>
  <c r="D17" i="1"/>
  <c r="O67" i="1" s="1"/>
  <c r="Z67" i="1" s="1"/>
  <c r="C17" i="1"/>
  <c r="B17" i="1"/>
  <c r="Q66" i="1"/>
  <c r="AB66" i="1" s="1"/>
  <c r="E16" i="1"/>
  <c r="D16" i="1"/>
  <c r="C16" i="1"/>
  <c r="B16" i="1"/>
  <c r="M66" i="1" s="1"/>
  <c r="X66" i="1" s="1"/>
  <c r="E15" i="1"/>
  <c r="D15" i="1"/>
  <c r="O65" i="1" s="1"/>
  <c r="Z65" i="1" s="1"/>
  <c r="C15" i="1"/>
  <c r="J15" i="1" s="1"/>
  <c r="B15" i="1"/>
  <c r="Q64" i="1"/>
  <c r="AB64" i="1" s="1"/>
  <c r="E14" i="1"/>
  <c r="D14" i="1"/>
  <c r="C14" i="1"/>
  <c r="J14" i="1" s="1"/>
  <c r="B14" i="1"/>
  <c r="E13" i="1"/>
  <c r="D13" i="1"/>
  <c r="O63" i="1" s="1"/>
  <c r="Z63" i="1" s="1"/>
  <c r="C13" i="1"/>
  <c r="B13" i="1"/>
  <c r="Q62" i="1"/>
  <c r="AB62" i="1" s="1"/>
  <c r="E12" i="1"/>
  <c r="E19" i="1" s="1"/>
  <c r="D12" i="1"/>
  <c r="C12" i="1"/>
  <c r="N62" i="1" s="1"/>
  <c r="Y62" i="1" s="1"/>
  <c r="B12" i="1"/>
  <c r="M62" i="1" s="1"/>
  <c r="X62" i="1" s="1"/>
  <c r="A8" i="1"/>
  <c r="A58" i="1" s="1"/>
  <c r="U78" i="1" l="1"/>
  <c r="AF78" i="1" s="1"/>
  <c r="U128" i="1"/>
  <c r="AF128" i="1" s="1"/>
  <c r="U115" i="1"/>
  <c r="AF115" i="1" s="1"/>
  <c r="U65" i="1"/>
  <c r="AF65" i="1" s="1"/>
  <c r="O84" i="1"/>
  <c r="Z84" i="1" s="1"/>
  <c r="D35" i="1"/>
  <c r="Q123" i="1"/>
  <c r="AB123" i="1" s="1"/>
  <c r="Q73" i="1"/>
  <c r="AB73" i="1" s="1"/>
  <c r="O81" i="1"/>
  <c r="Z81" i="1" s="1"/>
  <c r="U125" i="1"/>
  <c r="AF125" i="1" s="1"/>
  <c r="U75" i="1"/>
  <c r="AF75" i="1" s="1"/>
  <c r="Q84" i="1"/>
  <c r="AB84" i="1" s="1"/>
  <c r="P69" i="1"/>
  <c r="AA69" i="1" s="1"/>
  <c r="U64" i="1"/>
  <c r="AF64" i="1" s="1"/>
  <c r="N73" i="1"/>
  <c r="Y73" i="1" s="1"/>
  <c r="P114" i="1"/>
  <c r="AA114" i="1" s="1"/>
  <c r="M120" i="1"/>
  <c r="X120" i="1" s="1"/>
  <c r="D23" i="1"/>
  <c r="J24" i="1"/>
  <c r="N126" i="1"/>
  <c r="Y126" i="1" s="1"/>
  <c r="M133" i="1"/>
  <c r="X133" i="1" s="1"/>
  <c r="M83" i="1"/>
  <c r="X83" i="1" s="1"/>
  <c r="O89" i="1"/>
  <c r="Z89" i="1" s="1"/>
  <c r="Q90" i="1"/>
  <c r="AB90" i="1" s="1"/>
  <c r="Q142" i="1"/>
  <c r="AB142" i="1" s="1"/>
  <c r="Q92" i="1"/>
  <c r="AB92" i="1" s="1"/>
  <c r="S93" i="1"/>
  <c r="AD93" i="1" s="1"/>
  <c r="N116" i="1"/>
  <c r="Y116" i="1" s="1"/>
  <c r="J18" i="1"/>
  <c r="T119" i="1"/>
  <c r="AE119" i="1" s="1"/>
  <c r="P124" i="1"/>
  <c r="AA124" i="1" s="1"/>
  <c r="R131" i="1"/>
  <c r="AC131" i="1" s="1"/>
  <c r="M82" i="1"/>
  <c r="X82" i="1" s="1"/>
  <c r="O83" i="1"/>
  <c r="Z83" i="1" s="1"/>
  <c r="G37" i="1"/>
  <c r="O140" i="1"/>
  <c r="Z140" i="1" s="1"/>
  <c r="O90" i="1"/>
  <c r="Z90" i="1" s="1"/>
  <c r="M91" i="1"/>
  <c r="X91" i="1" s="1"/>
  <c r="O142" i="1"/>
  <c r="Z142" i="1" s="1"/>
  <c r="O92" i="1"/>
  <c r="Z92" i="1" s="1"/>
  <c r="M116" i="1"/>
  <c r="X116" i="1" s="1"/>
  <c r="P117" i="1"/>
  <c r="AA117" i="1" s="1"/>
  <c r="R120" i="1"/>
  <c r="AC120" i="1" s="1"/>
  <c r="J13" i="1"/>
  <c r="P116" i="1"/>
  <c r="AA116" i="1" s="1"/>
  <c r="J17" i="1"/>
  <c r="C19" i="1"/>
  <c r="M122" i="1"/>
  <c r="X122" i="1" s="1"/>
  <c r="J26" i="1"/>
  <c r="N128" i="1"/>
  <c r="Y128" i="1" s="1"/>
  <c r="P129" i="1"/>
  <c r="AA129" i="1" s="1"/>
  <c r="J30" i="1"/>
  <c r="E31" i="1"/>
  <c r="O82" i="1"/>
  <c r="Z82" i="1" s="1"/>
  <c r="Q83" i="1"/>
  <c r="AB83" i="1" s="1"/>
  <c r="S134" i="1"/>
  <c r="AD134" i="1" s="1"/>
  <c r="S84" i="1"/>
  <c r="AD84" i="1" s="1"/>
  <c r="M142" i="1"/>
  <c r="X142" i="1" s="1"/>
  <c r="D43" i="1"/>
  <c r="R98" i="1"/>
  <c r="AC98" i="1" s="1"/>
  <c r="Q98" i="1"/>
  <c r="AB98" i="1" s="1"/>
  <c r="J12" i="1"/>
  <c r="J16" i="1"/>
  <c r="B23" i="1"/>
  <c r="P126" i="1"/>
  <c r="AA126" i="1" s="1"/>
  <c r="J27" i="1"/>
  <c r="J29" i="1"/>
  <c r="C31" i="1"/>
  <c r="Q82" i="1"/>
  <c r="AB82" i="1" s="1"/>
  <c r="B34" i="1"/>
  <c r="I35" i="1"/>
  <c r="M139" i="1"/>
  <c r="X139" i="1" s="1"/>
  <c r="M89" i="1"/>
  <c r="X89" i="1" s="1"/>
  <c r="Q91" i="1"/>
  <c r="AB91" i="1" s="1"/>
  <c r="B43" i="1"/>
  <c r="C52" i="1"/>
  <c r="N102" i="1" s="1"/>
  <c r="Y102" i="1" s="1"/>
  <c r="O70" i="1"/>
  <c r="Z70" i="1" s="1"/>
  <c r="M71" i="1"/>
  <c r="X71" i="1" s="1"/>
  <c r="O72" i="1"/>
  <c r="Z72" i="1" s="1"/>
  <c r="P75" i="1"/>
  <c r="AA75" i="1" s="1"/>
  <c r="N76" i="1"/>
  <c r="Y76" i="1" s="1"/>
  <c r="P77" i="1"/>
  <c r="AA77" i="1" s="1"/>
  <c r="P79" i="1"/>
  <c r="AA79" i="1" s="1"/>
  <c r="S101" i="1"/>
  <c r="AD101" i="1" s="1"/>
  <c r="R142" i="1"/>
  <c r="AC142" i="1" s="1"/>
  <c r="Q141" i="1"/>
  <c r="AB141" i="1" s="1"/>
  <c r="M141" i="1"/>
  <c r="X141" i="1" s="1"/>
  <c r="T140" i="1"/>
  <c r="AE140" i="1" s="1"/>
  <c r="S139" i="1"/>
  <c r="AD139" i="1" s="1"/>
  <c r="O139" i="1"/>
  <c r="Z139" i="1" s="1"/>
  <c r="T141" i="1"/>
  <c r="AE141" i="1" s="1"/>
  <c r="P141" i="1"/>
  <c r="AA141" i="1" s="1"/>
  <c r="S140" i="1"/>
  <c r="AD140" i="1" s="1"/>
  <c r="R139" i="1"/>
  <c r="AC139" i="1" s="1"/>
  <c r="N139" i="1"/>
  <c r="Y139" i="1" s="1"/>
  <c r="S141" i="1"/>
  <c r="AD141" i="1" s="1"/>
  <c r="R134" i="1"/>
  <c r="AC134" i="1" s="1"/>
  <c r="R133" i="1"/>
  <c r="AC133" i="1" s="1"/>
  <c r="Q132" i="1"/>
  <c r="AB132" i="1" s="1"/>
  <c r="M132" i="1"/>
  <c r="X132" i="1" s="1"/>
  <c r="T131" i="1"/>
  <c r="AE131" i="1" s="1"/>
  <c r="R129" i="1"/>
  <c r="AC129" i="1" s="1"/>
  <c r="N129" i="1"/>
  <c r="Y129" i="1" s="1"/>
  <c r="T127" i="1"/>
  <c r="AE127" i="1" s="1"/>
  <c r="P127" i="1"/>
  <c r="AA127" i="1" s="1"/>
  <c r="S126" i="1"/>
  <c r="AD126" i="1" s="1"/>
  <c r="O126" i="1"/>
  <c r="Z126" i="1" s="1"/>
  <c r="R125" i="1"/>
  <c r="AC125" i="1" s="1"/>
  <c r="N125" i="1"/>
  <c r="Y125" i="1" s="1"/>
  <c r="M124" i="1"/>
  <c r="X124" i="1" s="1"/>
  <c r="S122" i="1"/>
  <c r="AD122" i="1" s="1"/>
  <c r="O122" i="1"/>
  <c r="Z122" i="1" s="1"/>
  <c r="R121" i="1"/>
  <c r="AC121" i="1" s="1"/>
  <c r="Q120" i="1"/>
  <c r="AB120" i="1" s="1"/>
  <c r="P119" i="1"/>
  <c r="AA119" i="1" s="1"/>
  <c r="S118" i="1"/>
  <c r="AD118" i="1" s="1"/>
  <c r="R117" i="1"/>
  <c r="AC117" i="1" s="1"/>
  <c r="N117" i="1"/>
  <c r="Y117" i="1" s="1"/>
  <c r="T115" i="1"/>
  <c r="AE115" i="1" s="1"/>
  <c r="P115" i="1"/>
  <c r="AA115" i="1" s="1"/>
  <c r="S114" i="1"/>
  <c r="AD114" i="1" s="1"/>
  <c r="R113" i="1"/>
  <c r="AC113" i="1" s="1"/>
  <c r="N113" i="1"/>
  <c r="Y113" i="1" s="1"/>
  <c r="I144" i="1"/>
  <c r="R141" i="1"/>
  <c r="AC141" i="1" s="1"/>
  <c r="M140" i="1"/>
  <c r="X140" i="1" s="1"/>
  <c r="Q134" i="1"/>
  <c r="AB134" i="1" s="1"/>
  <c r="Q133" i="1"/>
  <c r="AB133" i="1" s="1"/>
  <c r="T132" i="1"/>
  <c r="AE132" i="1" s="1"/>
  <c r="R130" i="1"/>
  <c r="AC130" i="1" s="1"/>
  <c r="N130" i="1"/>
  <c r="Y130" i="1" s="1"/>
  <c r="T128" i="1"/>
  <c r="AE128" i="1" s="1"/>
  <c r="P128" i="1"/>
  <c r="AA128" i="1" s="1"/>
  <c r="S127" i="1"/>
  <c r="AD127" i="1" s="1"/>
  <c r="R126" i="1"/>
  <c r="AC126" i="1" s="1"/>
  <c r="M125" i="1"/>
  <c r="X125" i="1" s="1"/>
  <c r="T124" i="1"/>
  <c r="AE124" i="1" s="1"/>
  <c r="S123" i="1"/>
  <c r="AD123" i="1" s="1"/>
  <c r="R122" i="1"/>
  <c r="AC122" i="1" s="1"/>
  <c r="Q121" i="1"/>
  <c r="AB121" i="1" s="1"/>
  <c r="M121" i="1"/>
  <c r="X121" i="1" s="1"/>
  <c r="T120" i="1"/>
  <c r="AE120" i="1" s="1"/>
  <c r="R140" i="1"/>
  <c r="AC140" i="1" s="1"/>
  <c r="T133" i="1"/>
  <c r="AE133" i="1" s="1"/>
  <c r="Q140" i="1"/>
  <c r="AB140" i="1" s="1"/>
  <c r="C137" i="1"/>
  <c r="S133" i="1"/>
  <c r="AD133" i="1" s="1"/>
  <c r="T130" i="1"/>
  <c r="AE130" i="1" s="1"/>
  <c r="R128" i="1"/>
  <c r="AC128" i="1" s="1"/>
  <c r="S125" i="1"/>
  <c r="AD125" i="1" s="1"/>
  <c r="N124" i="1"/>
  <c r="Y124" i="1" s="1"/>
  <c r="T122" i="1"/>
  <c r="AE122" i="1" s="1"/>
  <c r="T142" i="1"/>
  <c r="AE142" i="1" s="1"/>
  <c r="O141" i="1"/>
  <c r="Z141" i="1" s="1"/>
  <c r="I137" i="1"/>
  <c r="O134" i="1"/>
  <c r="Z134" i="1" s="1"/>
  <c r="P133" i="1"/>
  <c r="AA133" i="1" s="1"/>
  <c r="S132" i="1"/>
  <c r="AD132" i="1" s="1"/>
  <c r="T129" i="1"/>
  <c r="AE129" i="1" s="1"/>
  <c r="O128" i="1"/>
  <c r="Z128" i="1" s="1"/>
  <c r="R127" i="1"/>
  <c r="AC127" i="1" s="1"/>
  <c r="M126" i="1"/>
  <c r="X126" i="1" s="1"/>
  <c r="P125" i="1"/>
  <c r="AA125" i="1" s="1"/>
  <c r="S124" i="1"/>
  <c r="AD124" i="1" s="1"/>
  <c r="N123" i="1"/>
  <c r="Y123" i="1" s="1"/>
  <c r="Q122" i="1"/>
  <c r="AB122" i="1" s="1"/>
  <c r="T121" i="1"/>
  <c r="AE121" i="1" s="1"/>
  <c r="O120" i="1"/>
  <c r="Z120" i="1" s="1"/>
  <c r="S142" i="1"/>
  <c r="AD142" i="1" s="1"/>
  <c r="P130" i="1"/>
  <c r="AA130" i="1" s="1"/>
  <c r="R124" i="1"/>
  <c r="AC124" i="1" s="1"/>
  <c r="S121" i="1"/>
  <c r="AD121" i="1" s="1"/>
  <c r="T118" i="1"/>
  <c r="AE118" i="1" s="1"/>
  <c r="N118" i="1"/>
  <c r="Y118" i="1" s="1"/>
  <c r="T117" i="1"/>
  <c r="AE117" i="1" s="1"/>
  <c r="T116" i="1"/>
  <c r="AE116" i="1" s="1"/>
  <c r="O116" i="1"/>
  <c r="Z116" i="1" s="1"/>
  <c r="U114" i="1"/>
  <c r="AF114" i="1" s="1"/>
  <c r="P113" i="1"/>
  <c r="AA113" i="1" s="1"/>
  <c r="P112" i="1"/>
  <c r="AA112" i="1" s="1"/>
  <c r="T139" i="1"/>
  <c r="AE139" i="1" s="1"/>
  <c r="M130" i="1"/>
  <c r="X130" i="1" s="1"/>
  <c r="S128" i="1"/>
  <c r="AD128" i="1" s="1"/>
  <c r="N127" i="1"/>
  <c r="Y127" i="1" s="1"/>
  <c r="T125" i="1"/>
  <c r="AE125" i="1" s="1"/>
  <c r="R118" i="1"/>
  <c r="AC118" i="1" s="1"/>
  <c r="M118" i="1"/>
  <c r="X118" i="1" s="1"/>
  <c r="S117" i="1"/>
  <c r="AD117" i="1" s="1"/>
  <c r="S116" i="1"/>
  <c r="AD116" i="1" s="1"/>
  <c r="S115" i="1"/>
  <c r="AD115" i="1" s="1"/>
  <c r="N115" i="1"/>
  <c r="Y115" i="1" s="1"/>
  <c r="T114" i="1"/>
  <c r="AE114" i="1" s="1"/>
  <c r="N114" i="1"/>
  <c r="Y114" i="1" s="1"/>
  <c r="T113" i="1"/>
  <c r="AE113" i="1" s="1"/>
  <c r="O113" i="1"/>
  <c r="Z113" i="1" s="1"/>
  <c r="T112" i="1"/>
  <c r="AE112" i="1" s="1"/>
  <c r="R132" i="1"/>
  <c r="AC132" i="1" s="1"/>
  <c r="S129" i="1"/>
  <c r="AD129" i="1" s="1"/>
  <c r="T126" i="1"/>
  <c r="AE126" i="1" s="1"/>
  <c r="O121" i="1"/>
  <c r="Z121" i="1" s="1"/>
  <c r="S120" i="1"/>
  <c r="AD120" i="1" s="1"/>
  <c r="R119" i="1"/>
  <c r="AC119" i="1" s="1"/>
  <c r="Q118" i="1"/>
  <c r="AB118" i="1" s="1"/>
  <c r="Q117" i="1"/>
  <c r="AB117" i="1" s="1"/>
  <c r="R116" i="1"/>
  <c r="AC116" i="1" s="1"/>
  <c r="R115" i="1"/>
  <c r="AC115" i="1" s="1"/>
  <c r="M115" i="1"/>
  <c r="X115" i="1" s="1"/>
  <c r="R114" i="1"/>
  <c r="AC114" i="1" s="1"/>
  <c r="M114" i="1"/>
  <c r="X114" i="1" s="1"/>
  <c r="S113" i="1"/>
  <c r="AD113" i="1" s="1"/>
  <c r="S112" i="1"/>
  <c r="AD112" i="1" s="1"/>
  <c r="N112" i="1"/>
  <c r="Y112" i="1" s="1"/>
  <c r="O112" i="1"/>
  <c r="Z112" i="1" s="1"/>
  <c r="M113" i="1"/>
  <c r="X113" i="1" s="1"/>
  <c r="Q113" i="1"/>
  <c r="AB113" i="1" s="1"/>
  <c r="O114" i="1"/>
  <c r="Z114" i="1" s="1"/>
  <c r="M117" i="1"/>
  <c r="X117" i="1" s="1"/>
  <c r="O118" i="1"/>
  <c r="Z118" i="1" s="1"/>
  <c r="B19" i="1"/>
  <c r="F19" i="1"/>
  <c r="P120" i="1"/>
  <c r="AA120" i="1" s="1"/>
  <c r="N121" i="1"/>
  <c r="Y121" i="1" s="1"/>
  <c r="J21" i="1"/>
  <c r="P122" i="1"/>
  <c r="AA122" i="1" s="1"/>
  <c r="Q124" i="1"/>
  <c r="AB124" i="1" s="1"/>
  <c r="O125" i="1"/>
  <c r="Z125" i="1" s="1"/>
  <c r="O127" i="1"/>
  <c r="Z127" i="1" s="1"/>
  <c r="O77" i="1"/>
  <c r="Z77" i="1" s="1"/>
  <c r="M128" i="1"/>
  <c r="X128" i="1" s="1"/>
  <c r="M78" i="1"/>
  <c r="X78" i="1" s="1"/>
  <c r="Q128" i="1"/>
  <c r="AB128" i="1" s="1"/>
  <c r="Q78" i="1"/>
  <c r="AB78" i="1" s="1"/>
  <c r="O79" i="1"/>
  <c r="Z79" i="1" s="1"/>
  <c r="O129" i="1"/>
  <c r="Z129" i="1" s="1"/>
  <c r="M80" i="1"/>
  <c r="X80" i="1" s="1"/>
  <c r="Q130" i="1"/>
  <c r="AB130" i="1" s="1"/>
  <c r="Q80" i="1"/>
  <c r="AB80" i="1" s="1"/>
  <c r="S81" i="1"/>
  <c r="AD81" i="1" s="1"/>
  <c r="N132" i="1"/>
  <c r="Y132" i="1" s="1"/>
  <c r="J32" i="1"/>
  <c r="C34" i="1"/>
  <c r="J39" i="1"/>
  <c r="N141" i="1"/>
  <c r="Y141" i="1" s="1"/>
  <c r="N91" i="1"/>
  <c r="Y91" i="1" s="1"/>
  <c r="J41" i="1"/>
  <c r="P142" i="1"/>
  <c r="AA142" i="1" s="1"/>
  <c r="C43" i="1"/>
  <c r="R143" i="1"/>
  <c r="AC143" i="1" s="1"/>
  <c r="I50" i="1"/>
  <c r="T100" i="1" s="1"/>
  <c r="AE100" i="1" s="1"/>
  <c r="D52" i="1"/>
  <c r="O102" i="1" s="1"/>
  <c r="Z102" i="1" s="1"/>
  <c r="P62" i="1"/>
  <c r="AA62" i="1" s="1"/>
  <c r="N63" i="1"/>
  <c r="Y63" i="1" s="1"/>
  <c r="P64" i="1"/>
  <c r="AA64" i="1" s="1"/>
  <c r="N65" i="1"/>
  <c r="Y65" i="1" s="1"/>
  <c r="P66" i="1"/>
  <c r="AA66" i="1" s="1"/>
  <c r="N67" i="1"/>
  <c r="Y67" i="1" s="1"/>
  <c r="P68" i="1"/>
  <c r="AA68" i="1" s="1"/>
  <c r="R69" i="1"/>
  <c r="AC69" i="1" s="1"/>
  <c r="P70" i="1"/>
  <c r="AA70" i="1" s="1"/>
  <c r="N71" i="1"/>
  <c r="Y71" i="1" s="1"/>
  <c r="P72" i="1"/>
  <c r="AA72" i="1" s="1"/>
  <c r="R73" i="1"/>
  <c r="AC73" i="1" s="1"/>
  <c r="P74" i="1"/>
  <c r="AA74" i="1" s="1"/>
  <c r="P76" i="1"/>
  <c r="AA76" i="1" s="1"/>
  <c r="N78" i="1"/>
  <c r="Y78" i="1" s="1"/>
  <c r="N80" i="1"/>
  <c r="Y80" i="1" s="1"/>
  <c r="R81" i="1"/>
  <c r="AC81" i="1" s="1"/>
  <c r="N89" i="1"/>
  <c r="Y89" i="1" s="1"/>
  <c r="Q114" i="1"/>
  <c r="AB114" i="1" s="1"/>
  <c r="P118" i="1"/>
  <c r="AA118" i="1" s="1"/>
  <c r="M127" i="1"/>
  <c r="X127" i="1" s="1"/>
  <c r="O132" i="1"/>
  <c r="Z132" i="1" s="1"/>
  <c r="P140" i="1"/>
  <c r="AA140" i="1" s="1"/>
  <c r="J49" i="1"/>
  <c r="U99" i="1" s="1"/>
  <c r="AF99" i="1" s="1"/>
  <c r="J50" i="1"/>
  <c r="U100" i="1" s="1"/>
  <c r="AF100" i="1" s="1"/>
  <c r="J51" i="1"/>
  <c r="U101" i="1" s="1"/>
  <c r="AF101" i="1" s="1"/>
  <c r="M64" i="1"/>
  <c r="X64" i="1" s="1"/>
  <c r="M68" i="1"/>
  <c r="X68" i="1" s="1"/>
  <c r="M70" i="1"/>
  <c r="X70" i="1" s="1"/>
  <c r="Q70" i="1"/>
  <c r="AB70" i="1" s="1"/>
  <c r="O71" i="1"/>
  <c r="Z71" i="1" s="1"/>
  <c r="M72" i="1"/>
  <c r="X72" i="1" s="1"/>
  <c r="Q72" i="1"/>
  <c r="AB72" i="1" s="1"/>
  <c r="S73" i="1"/>
  <c r="AD73" i="1" s="1"/>
  <c r="Q74" i="1"/>
  <c r="AB74" i="1" s="1"/>
  <c r="N75" i="1"/>
  <c r="Y75" i="1" s="1"/>
  <c r="Q76" i="1"/>
  <c r="AB76" i="1" s="1"/>
  <c r="P78" i="1"/>
  <c r="AA78" i="1" s="1"/>
  <c r="P80" i="1"/>
  <c r="AA80" i="1" s="1"/>
  <c r="T81" i="1"/>
  <c r="AE81" i="1" s="1"/>
  <c r="R84" i="1"/>
  <c r="AC84" i="1" s="1"/>
  <c r="M90" i="1"/>
  <c r="X90" i="1" s="1"/>
  <c r="M92" i="1"/>
  <c r="X92" i="1" s="1"/>
  <c r="A108" i="1"/>
  <c r="Q115" i="1"/>
  <c r="AB115" i="1" s="1"/>
  <c r="R123" i="1"/>
  <c r="AC123" i="1" s="1"/>
  <c r="O133" i="1"/>
  <c r="Z133" i="1" s="1"/>
  <c r="M112" i="1"/>
  <c r="X112" i="1" s="1"/>
  <c r="Q112" i="1"/>
  <c r="AB112" i="1" s="1"/>
  <c r="O115" i="1"/>
  <c r="Z115" i="1" s="1"/>
  <c r="Q116" i="1"/>
  <c r="AB116" i="1" s="1"/>
  <c r="O117" i="1"/>
  <c r="Z117" i="1" s="1"/>
  <c r="D19" i="1"/>
  <c r="S119" i="1"/>
  <c r="AD119" i="1" s="1"/>
  <c r="N120" i="1"/>
  <c r="Y120" i="1" s="1"/>
  <c r="J20" i="1"/>
  <c r="P121" i="1"/>
  <c r="AA121" i="1" s="1"/>
  <c r="N122" i="1"/>
  <c r="Y122" i="1" s="1"/>
  <c r="J22" i="1"/>
  <c r="E23" i="1"/>
  <c r="T123" i="1"/>
  <c r="AE123" i="1" s="1"/>
  <c r="O124" i="1"/>
  <c r="Z124" i="1" s="1"/>
  <c r="O74" i="1"/>
  <c r="Z74" i="1" s="1"/>
  <c r="M75" i="1"/>
  <c r="X75" i="1" s="1"/>
  <c r="Q125" i="1"/>
  <c r="AB125" i="1" s="1"/>
  <c r="Q75" i="1"/>
  <c r="AB75" i="1" s="1"/>
  <c r="O76" i="1"/>
  <c r="Z76" i="1" s="1"/>
  <c r="Q127" i="1"/>
  <c r="AB127" i="1" s="1"/>
  <c r="Q77" i="1"/>
  <c r="AB77" i="1" s="1"/>
  <c r="O78" i="1"/>
  <c r="Z78" i="1" s="1"/>
  <c r="M129" i="1"/>
  <c r="X129" i="1" s="1"/>
  <c r="M79" i="1"/>
  <c r="X79" i="1" s="1"/>
  <c r="Q129" i="1"/>
  <c r="AB129" i="1" s="1"/>
  <c r="Q79" i="1"/>
  <c r="AB79" i="1" s="1"/>
  <c r="O80" i="1"/>
  <c r="Z80" i="1" s="1"/>
  <c r="B31" i="1"/>
  <c r="F31" i="1"/>
  <c r="F35" i="1" s="1"/>
  <c r="P132" i="1"/>
  <c r="AA132" i="1" s="1"/>
  <c r="N133" i="1"/>
  <c r="Y133" i="1" s="1"/>
  <c r="J33" i="1"/>
  <c r="E34" i="1"/>
  <c r="T134" i="1"/>
  <c r="AE134" i="1" s="1"/>
  <c r="H35" i="1"/>
  <c r="P139" i="1"/>
  <c r="AA139" i="1" s="1"/>
  <c r="N140" i="1"/>
  <c r="Y140" i="1" s="1"/>
  <c r="N90" i="1"/>
  <c r="Y90" i="1" s="1"/>
  <c r="J40" i="1"/>
  <c r="P91" i="1"/>
  <c r="AA91" i="1" s="1"/>
  <c r="N142" i="1"/>
  <c r="Y142" i="1" s="1"/>
  <c r="N92" i="1"/>
  <c r="Y92" i="1" s="1"/>
  <c r="J42" i="1"/>
  <c r="E43" i="1"/>
  <c r="T143" i="1"/>
  <c r="AE143" i="1" s="1"/>
  <c r="G47" i="1"/>
  <c r="H48" i="1"/>
  <c r="R99" i="1"/>
  <c r="AC99" i="1" s="1"/>
  <c r="Q99" i="1"/>
  <c r="AB99" i="1" s="1"/>
  <c r="R100" i="1"/>
  <c r="AC100" i="1" s="1"/>
  <c r="Q100" i="1"/>
  <c r="AB100" i="1" s="1"/>
  <c r="R101" i="1"/>
  <c r="AC101" i="1" s="1"/>
  <c r="Q101" i="1"/>
  <c r="AB101" i="1" s="1"/>
  <c r="B52" i="1"/>
  <c r="M102" i="1" s="1"/>
  <c r="X102" i="1" s="1"/>
  <c r="P63" i="1"/>
  <c r="AA63" i="1" s="1"/>
  <c r="N64" i="1"/>
  <c r="Y64" i="1" s="1"/>
  <c r="P65" i="1"/>
  <c r="AA65" i="1" s="1"/>
  <c r="N66" i="1"/>
  <c r="Y66" i="1" s="1"/>
  <c r="P67" i="1"/>
  <c r="AA67" i="1" s="1"/>
  <c r="N68" i="1"/>
  <c r="Y68" i="1" s="1"/>
  <c r="T69" i="1"/>
  <c r="AE69" i="1" s="1"/>
  <c r="N70" i="1"/>
  <c r="Y70" i="1" s="1"/>
  <c r="P71" i="1"/>
  <c r="AA71" i="1" s="1"/>
  <c r="N72" i="1"/>
  <c r="Y72" i="1" s="1"/>
  <c r="T73" i="1"/>
  <c r="AE73" i="1" s="1"/>
  <c r="M74" i="1"/>
  <c r="X74" i="1" s="1"/>
  <c r="O75" i="1"/>
  <c r="Z75" i="1" s="1"/>
  <c r="M76" i="1"/>
  <c r="X76" i="1" s="1"/>
  <c r="N77" i="1"/>
  <c r="Y77" i="1" s="1"/>
  <c r="N79" i="1"/>
  <c r="Y79" i="1" s="1"/>
  <c r="P83" i="1"/>
  <c r="AA83" i="1" s="1"/>
  <c r="T84" i="1"/>
  <c r="AE84" i="1" s="1"/>
  <c r="R85" i="1"/>
  <c r="AC85" i="1" s="1"/>
  <c r="O91" i="1"/>
  <c r="Z91" i="1" s="1"/>
  <c r="P92" i="1"/>
  <c r="AA92" i="1" s="1"/>
  <c r="R112" i="1"/>
  <c r="AC112" i="1" s="1"/>
  <c r="Q126" i="1"/>
  <c r="AB126" i="1" s="1"/>
  <c r="J104" i="1"/>
  <c r="D227" i="1"/>
  <c r="D231" i="1" s="1"/>
  <c r="D232" i="1" s="1"/>
  <c r="D234" i="1" s="1"/>
  <c r="D226" i="1"/>
  <c r="O130" i="1" s="1"/>
  <c r="Z130" i="1" s="1"/>
  <c r="H227" i="1"/>
  <c r="H231" i="1" s="1"/>
  <c r="H226" i="1"/>
  <c r="S130" i="1" s="1"/>
  <c r="AD130" i="1" s="1"/>
  <c r="E232" i="1"/>
  <c r="E234" i="1" s="1"/>
  <c r="AA91" i="2"/>
  <c r="O91" i="2"/>
  <c r="AA62" i="2"/>
  <c r="O62" i="2"/>
  <c r="K33" i="2"/>
  <c r="AD91" i="2"/>
  <c r="AD62" i="2"/>
  <c r="R91" i="2"/>
  <c r="R62" i="2"/>
  <c r="AA83" i="2"/>
  <c r="K25" i="2"/>
  <c r="O54" i="2"/>
  <c r="O83" i="2"/>
  <c r="AA54" i="2"/>
  <c r="S83" i="2"/>
  <c r="AE83" i="2"/>
  <c r="AE54" i="2"/>
  <c r="AB88" i="2"/>
  <c r="P88" i="2"/>
  <c r="AB59" i="2"/>
  <c r="P59" i="2"/>
  <c r="K30" i="2"/>
  <c r="AC90" i="2"/>
  <c r="Q61" i="2"/>
  <c r="Q90" i="2"/>
  <c r="AC61" i="2"/>
  <c r="B232" i="1"/>
  <c r="B234" i="1" s="1"/>
  <c r="P80" i="2"/>
  <c r="AB51" i="2"/>
  <c r="K22" i="2"/>
  <c r="AD81" i="2"/>
  <c r="AD52" i="2"/>
  <c r="R52" i="2"/>
  <c r="R81" i="2"/>
  <c r="Q82" i="2"/>
  <c r="Q53" i="2"/>
  <c r="AC82" i="2"/>
  <c r="AC53" i="2"/>
  <c r="P42" i="2"/>
  <c r="AB71" i="2"/>
  <c r="P71" i="2"/>
  <c r="AB42" i="2"/>
  <c r="K13" i="2"/>
  <c r="AD72" i="2"/>
  <c r="R72" i="2"/>
  <c r="AC44" i="2"/>
  <c r="Q44" i="2"/>
  <c r="AG44" i="2"/>
  <c r="U44" i="2"/>
  <c r="AA78" i="2"/>
  <c r="O78" i="2"/>
  <c r="AA49" i="2"/>
  <c r="AE78" i="2"/>
  <c r="AE49" i="2"/>
  <c r="S78" i="2"/>
  <c r="S49" i="2"/>
  <c r="K20" i="2"/>
  <c r="R79" i="2"/>
  <c r="R50" i="2"/>
  <c r="AD50" i="2"/>
  <c r="AC80" i="2"/>
  <c r="AC51" i="2"/>
  <c r="Q80" i="2"/>
  <c r="Q51" i="2"/>
  <c r="AA81" i="2"/>
  <c r="O81" i="2"/>
  <c r="AA52" i="2"/>
  <c r="O52" i="2"/>
  <c r="K23" i="2"/>
  <c r="AE81" i="2"/>
  <c r="S81" i="2"/>
  <c r="AE52" i="2"/>
  <c r="S52" i="2"/>
  <c r="AD43" i="2"/>
  <c r="O49" i="2"/>
  <c r="P51" i="2"/>
  <c r="AC71" i="2"/>
  <c r="Q71" i="2"/>
  <c r="AC42" i="2"/>
  <c r="AA72" i="2"/>
  <c r="O72" i="2"/>
  <c r="AA43" i="2"/>
  <c r="K14" i="2"/>
  <c r="AE72" i="2"/>
  <c r="S72" i="2"/>
  <c r="AE43" i="2"/>
  <c r="S43" i="2"/>
  <c r="P61" i="2"/>
  <c r="P90" i="2"/>
  <c r="AB90" i="2"/>
  <c r="K32" i="2"/>
  <c r="Q92" i="2"/>
  <c r="AC63" i="2"/>
  <c r="Q63" i="2"/>
  <c r="AC92" i="2"/>
  <c r="Q42" i="2"/>
  <c r="AB80" i="2"/>
  <c r="G26" i="5"/>
  <c r="C26" i="5"/>
  <c r="G15" i="5"/>
  <c r="C15" i="5"/>
  <c r="B52" i="5"/>
  <c r="F26" i="5"/>
  <c r="B26" i="5"/>
  <c r="F15" i="5"/>
  <c r="B15" i="5"/>
  <c r="I26" i="5"/>
  <c r="E26" i="5"/>
  <c r="I15" i="5"/>
  <c r="E15" i="5"/>
  <c r="D15" i="5"/>
  <c r="H26" i="5"/>
  <c r="H15" i="5"/>
  <c r="D26" i="5"/>
  <c r="I234" i="1"/>
  <c r="J216" i="1"/>
  <c r="J219" i="1" s="1"/>
  <c r="J225" i="1"/>
  <c r="K15" i="2"/>
  <c r="O76" i="2"/>
  <c r="AA76" i="2"/>
  <c r="O47" i="2"/>
  <c r="S76" i="2"/>
  <c r="S47" i="2"/>
  <c r="AB78" i="2"/>
  <c r="P78" i="2"/>
  <c r="AB49" i="2"/>
  <c r="P49" i="2"/>
  <c r="AF78" i="2"/>
  <c r="T78" i="2"/>
  <c r="AF49" i="2"/>
  <c r="T49" i="2"/>
  <c r="AA79" i="2"/>
  <c r="K21" i="2"/>
  <c r="P86" i="2"/>
  <c r="AB86" i="2"/>
  <c r="K28" i="2"/>
  <c r="Q88" i="2"/>
  <c r="AC59" i="2"/>
  <c r="Q59" i="2"/>
  <c r="O60" i="2"/>
  <c r="AA89" i="2"/>
  <c r="AA60" i="2"/>
  <c r="K31" i="2"/>
  <c r="R89" i="2"/>
  <c r="AD60" i="2"/>
  <c r="R60" i="2"/>
  <c r="O50" i="2"/>
  <c r="AE76" i="2"/>
  <c r="O89" i="2"/>
  <c r="R49" i="4"/>
  <c r="AC49" i="4" s="1"/>
  <c r="G41" i="4"/>
  <c r="R50" i="4" s="1"/>
  <c r="AC50" i="4" s="1"/>
  <c r="F234" i="1"/>
  <c r="D215" i="1"/>
  <c r="H215" i="1"/>
  <c r="J212" i="1"/>
  <c r="J215" i="1" s="1"/>
  <c r="C232" i="1"/>
  <c r="C234" i="1" s="1"/>
  <c r="G232" i="1"/>
  <c r="G234" i="1" s="1"/>
  <c r="C226" i="1"/>
  <c r="K18" i="2"/>
  <c r="AD77" i="2"/>
  <c r="AD48" i="2"/>
  <c r="AB82" i="2"/>
  <c r="P82" i="2"/>
  <c r="AB53" i="2"/>
  <c r="P53" i="2"/>
  <c r="K24" i="2"/>
  <c r="R83" i="2"/>
  <c r="R54" i="2"/>
  <c r="AC86" i="2"/>
  <c r="AC57" i="2"/>
  <c r="AA87" i="2"/>
  <c r="O87" i="2"/>
  <c r="AA58" i="2"/>
  <c r="O58" i="2"/>
  <c r="K29" i="2"/>
  <c r="AD87" i="2"/>
  <c r="R87" i="2"/>
  <c r="AD58" i="2"/>
  <c r="AB92" i="2"/>
  <c r="P92" i="2"/>
  <c r="AB63" i="2"/>
  <c r="P63" i="2"/>
  <c r="K34" i="2"/>
  <c r="AE47" i="2"/>
  <c r="AC48" i="2"/>
  <c r="AE50" i="2"/>
  <c r="O79" i="2"/>
  <c r="H40" i="4"/>
  <c r="AD71" i="2"/>
  <c r="R71" i="2"/>
  <c r="AA77" i="2"/>
  <c r="O77" i="2"/>
  <c r="AE77" i="2"/>
  <c r="S77" i="2"/>
  <c r="AD80" i="2"/>
  <c r="R80" i="2"/>
  <c r="P91" i="2"/>
  <c r="AB62" i="2"/>
  <c r="P62" i="2"/>
  <c r="O42" i="2"/>
  <c r="S42" i="2"/>
  <c r="AD42" i="2"/>
  <c r="P43" i="2"/>
  <c r="AC47" i="2"/>
  <c r="O48" i="2"/>
  <c r="S48" i="2"/>
  <c r="AB50" i="2"/>
  <c r="R51" i="2"/>
  <c r="AB54" i="2"/>
  <c r="AC62" i="2"/>
  <c r="AB72" i="2"/>
  <c r="AE80" i="2"/>
  <c r="O88" i="2"/>
  <c r="AD88" i="2"/>
  <c r="O92" i="2"/>
  <c r="AD92" i="2"/>
  <c r="AD76" i="2"/>
  <c r="R76" i="2"/>
  <c r="K19" i="2"/>
  <c r="AC79" i="2"/>
  <c r="Q79" i="2"/>
  <c r="D25" i="6"/>
  <c r="AA82" i="2"/>
  <c r="D24" i="6"/>
  <c r="AE82" i="2"/>
  <c r="AC83" i="2"/>
  <c r="Q83" i="2"/>
  <c r="AD86" i="2"/>
  <c r="R86" i="2"/>
  <c r="AC89" i="2"/>
  <c r="Q89" i="2"/>
  <c r="AC60" i="2"/>
  <c r="O90" i="2"/>
  <c r="AA61" i="2"/>
  <c r="O61" i="2"/>
  <c r="AD90" i="2"/>
  <c r="R90" i="2"/>
  <c r="AD61" i="2"/>
  <c r="AA42" i="2"/>
  <c r="AE42" i="2"/>
  <c r="Q43" i="2"/>
  <c r="AB43" i="2"/>
  <c r="AD47" i="2"/>
  <c r="P48" i="2"/>
  <c r="AA48" i="2"/>
  <c r="AE48" i="2"/>
  <c r="Q49" i="2"/>
  <c r="U49" i="2"/>
  <c r="AC50" i="2"/>
  <c r="O51" i="2"/>
  <c r="S51" i="2"/>
  <c r="AD51" i="2"/>
  <c r="P52" i="2"/>
  <c r="AC54" i="2"/>
  <c r="O57" i="2"/>
  <c r="AD57" i="2"/>
  <c r="P58" i="2"/>
  <c r="AB60" i="2"/>
  <c r="R61" i="2"/>
  <c r="AE71" i="2"/>
  <c r="Q76" i="2"/>
  <c r="AC78" i="2"/>
  <c r="O82" i="2"/>
  <c r="AB87" i="2"/>
  <c r="R88" i="2"/>
  <c r="AB91" i="2"/>
  <c r="R92" i="2"/>
  <c r="Y23" i="3"/>
  <c r="O23" i="3"/>
  <c r="M30" i="4"/>
  <c r="X30" i="4" s="1"/>
  <c r="U23" i="4"/>
  <c r="AF23" i="4" s="1"/>
  <c r="H42" i="5"/>
  <c r="R51" i="5"/>
  <c r="AB51" i="5" s="1"/>
  <c r="X47" i="3"/>
  <c r="N47" i="3"/>
  <c r="D40" i="3"/>
  <c r="N48" i="3" s="1"/>
  <c r="I83" i="3"/>
  <c r="G52" i="5"/>
  <c r="C52" i="5"/>
  <c r="G41" i="5"/>
  <c r="C41" i="5"/>
  <c r="F52" i="5"/>
  <c r="F41" i="5"/>
  <c r="B41" i="5"/>
  <c r="I52" i="5"/>
  <c r="E52" i="5"/>
  <c r="I41" i="5"/>
  <c r="E41" i="5"/>
  <c r="H52" i="5"/>
  <c r="B15" i="3"/>
  <c r="L23" i="3"/>
  <c r="P23" i="3"/>
  <c r="Z23" i="3"/>
  <c r="B41" i="4"/>
  <c r="M48" i="4"/>
  <c r="X48" i="4" s="1"/>
  <c r="J39" i="4"/>
  <c r="F41" i="4"/>
  <c r="Q50" i="4" s="1"/>
  <c r="AB50" i="4" s="1"/>
  <c r="Q48" i="4"/>
  <c r="AB48" i="4" s="1"/>
  <c r="U75" i="4"/>
  <c r="AF75" i="4" s="1"/>
  <c r="U81" i="4"/>
  <c r="AF81" i="4" s="1"/>
  <c r="Q23" i="4"/>
  <c r="AB23" i="4" s="1"/>
  <c r="D41" i="4"/>
  <c r="O50" i="4" s="1"/>
  <c r="Z50" i="4" s="1"/>
  <c r="O98" i="4"/>
  <c r="Z98" i="4" s="1"/>
  <c r="E40" i="3"/>
  <c r="O48" i="3" s="1"/>
  <c r="O47" i="3"/>
  <c r="P98" i="4"/>
  <c r="AA98" i="4" s="1"/>
  <c r="B40" i="3"/>
  <c r="L48" i="3" s="1"/>
  <c r="F40" i="3"/>
  <c r="P48" i="3" s="1"/>
  <c r="L47" i="3"/>
  <c r="P47" i="3"/>
  <c r="J16" i="4"/>
  <c r="M98" i="4"/>
  <c r="X98" i="4" s="1"/>
  <c r="L56" i="5" l="1"/>
  <c r="S51" i="5"/>
  <c r="AC51" i="5" s="1"/>
  <c r="I42" i="5"/>
  <c r="V56" i="5" s="1"/>
  <c r="P51" i="5"/>
  <c r="Z51" i="5" s="1"/>
  <c r="F42" i="5"/>
  <c r="AI77" i="2"/>
  <c r="W77" i="2"/>
  <c r="AI48" i="2"/>
  <c r="W48" i="2"/>
  <c r="S49" i="4"/>
  <c r="AD49" i="4" s="1"/>
  <c r="H41" i="4"/>
  <c r="S50" i="4" s="1"/>
  <c r="AD50" i="4" s="1"/>
  <c r="I40" i="4"/>
  <c r="J40" i="4" s="1"/>
  <c r="W60" i="2"/>
  <c r="W89" i="2"/>
  <c r="AI60" i="2"/>
  <c r="AI89" i="2"/>
  <c r="O25" i="5"/>
  <c r="Y25" i="5" s="1"/>
  <c r="E16" i="5"/>
  <c r="L25" i="5"/>
  <c r="V25" i="5" s="1"/>
  <c r="B16" i="5"/>
  <c r="W71" i="2"/>
  <c r="AI71" i="2"/>
  <c r="AI42" i="2"/>
  <c r="W42" i="2"/>
  <c r="W83" i="2"/>
  <c r="AI83" i="2"/>
  <c r="AI54" i="2"/>
  <c r="W54" i="2"/>
  <c r="N143" i="1"/>
  <c r="Y143" i="1" s="1"/>
  <c r="N93" i="1"/>
  <c r="Y93" i="1" s="1"/>
  <c r="N134" i="1"/>
  <c r="Y134" i="1" s="1"/>
  <c r="N84" i="1"/>
  <c r="Y84" i="1" s="1"/>
  <c r="C35" i="1"/>
  <c r="Q119" i="1"/>
  <c r="AB119" i="1" s="1"/>
  <c r="Q69" i="1"/>
  <c r="AB69" i="1" s="1"/>
  <c r="M143" i="1"/>
  <c r="X143" i="1" s="1"/>
  <c r="M93" i="1"/>
  <c r="X93" i="1" s="1"/>
  <c r="U127" i="1"/>
  <c r="AF127" i="1" s="1"/>
  <c r="U77" i="1"/>
  <c r="AF77" i="1" s="1"/>
  <c r="U112" i="1"/>
  <c r="AF112" i="1" s="1"/>
  <c r="U62" i="1"/>
  <c r="AF62" i="1" s="1"/>
  <c r="Q135" i="1"/>
  <c r="AB135" i="1" s="1"/>
  <c r="Q85" i="1"/>
  <c r="AB85" i="1" s="1"/>
  <c r="F37" i="1"/>
  <c r="O135" i="1"/>
  <c r="Z135" i="1" s="1"/>
  <c r="O85" i="1"/>
  <c r="Z85" i="1" s="1"/>
  <c r="D37" i="1"/>
  <c r="M50" i="4"/>
  <c r="X50" i="4" s="1"/>
  <c r="L25" i="3"/>
  <c r="V25" i="3"/>
  <c r="C15" i="3"/>
  <c r="AI92" i="2"/>
  <c r="W63" i="2"/>
  <c r="AI63" i="2"/>
  <c r="W92" i="2"/>
  <c r="AI87" i="2"/>
  <c r="W87" i="2"/>
  <c r="AI58" i="2"/>
  <c r="W58" i="2"/>
  <c r="W76" i="2"/>
  <c r="W47" i="2"/>
  <c r="AI47" i="2"/>
  <c r="AI76" i="2"/>
  <c r="AI44" i="2"/>
  <c r="W44" i="2"/>
  <c r="AI73" i="2"/>
  <c r="H16" i="5"/>
  <c r="R25" i="5"/>
  <c r="AB25" i="5" s="1"/>
  <c r="L30" i="5"/>
  <c r="S25" i="5"/>
  <c r="AC25" i="5" s="1"/>
  <c r="I16" i="5"/>
  <c r="V30" i="5" s="1"/>
  <c r="D33" i="6" s="1"/>
  <c r="P25" i="5"/>
  <c r="Z25" i="5" s="1"/>
  <c r="F16" i="5"/>
  <c r="M25" i="5"/>
  <c r="W25" i="5" s="1"/>
  <c r="C16" i="5"/>
  <c r="J226" i="1"/>
  <c r="W80" i="2"/>
  <c r="W51" i="2"/>
  <c r="AI80" i="2"/>
  <c r="AI51" i="2"/>
  <c r="AI88" i="2"/>
  <c r="W59" i="2"/>
  <c r="AI59" i="2"/>
  <c r="W88" i="2"/>
  <c r="S98" i="1"/>
  <c r="AD98" i="1" s="1"/>
  <c r="H52" i="1"/>
  <c r="S102" i="1" s="1"/>
  <c r="AD102" i="1" s="1"/>
  <c r="I48" i="1"/>
  <c r="P143" i="1"/>
  <c r="AA143" i="1" s="1"/>
  <c r="P93" i="1"/>
  <c r="AA93" i="1" s="1"/>
  <c r="P134" i="1"/>
  <c r="AA134" i="1" s="1"/>
  <c r="P84" i="1"/>
  <c r="AA84" i="1" s="1"/>
  <c r="E35" i="1"/>
  <c r="Q81" i="1"/>
  <c r="AB81" i="1" s="1"/>
  <c r="Q131" i="1"/>
  <c r="AB131" i="1" s="1"/>
  <c r="O119" i="1"/>
  <c r="Z119" i="1" s="1"/>
  <c r="O69" i="1"/>
  <c r="Z69" i="1" s="1"/>
  <c r="U139" i="1"/>
  <c r="AF139" i="1" s="1"/>
  <c r="U89" i="1"/>
  <c r="AF89" i="1" s="1"/>
  <c r="J43" i="1"/>
  <c r="U121" i="1"/>
  <c r="AF121" i="1" s="1"/>
  <c r="U71" i="1"/>
  <c r="AF71" i="1" s="1"/>
  <c r="M119" i="1"/>
  <c r="X119" i="1" s="1"/>
  <c r="J19" i="1"/>
  <c r="M69" i="1"/>
  <c r="X69" i="1" s="1"/>
  <c r="D137" i="1"/>
  <c r="U120" i="1"/>
  <c r="AF120" i="1" s="1"/>
  <c r="G137" i="1"/>
  <c r="C144" i="1"/>
  <c r="B137" i="1"/>
  <c r="B144" i="1" s="1"/>
  <c r="D144" i="1"/>
  <c r="T135" i="1"/>
  <c r="AE135" i="1" s="1"/>
  <c r="T85" i="1"/>
  <c r="AE85" i="1" s="1"/>
  <c r="I37" i="1"/>
  <c r="N131" i="1"/>
  <c r="Y131" i="1" s="1"/>
  <c r="N81" i="1"/>
  <c r="Y81" i="1" s="1"/>
  <c r="U116" i="1"/>
  <c r="AF116" i="1" s="1"/>
  <c r="U66" i="1"/>
  <c r="AF66" i="1" s="1"/>
  <c r="P131" i="1"/>
  <c r="AA131" i="1" s="1"/>
  <c r="P81" i="1"/>
  <c r="AA81" i="1" s="1"/>
  <c r="U126" i="1"/>
  <c r="AF126" i="1" s="1"/>
  <c r="U76" i="1"/>
  <c r="AF76" i="1" s="1"/>
  <c r="U118" i="1"/>
  <c r="AF118" i="1" s="1"/>
  <c r="U68" i="1"/>
  <c r="AF68" i="1" s="1"/>
  <c r="U124" i="1"/>
  <c r="AF124" i="1" s="1"/>
  <c r="U74" i="1"/>
  <c r="AF74" i="1" s="1"/>
  <c r="M51" i="5"/>
  <c r="W51" i="5" s="1"/>
  <c r="C42" i="5"/>
  <c r="AI82" i="2"/>
  <c r="AI53" i="2"/>
  <c r="W53" i="2"/>
  <c r="W82" i="2"/>
  <c r="W79" i="2"/>
  <c r="AI50" i="2"/>
  <c r="AI79" i="2"/>
  <c r="W50" i="2"/>
  <c r="Q25" i="5"/>
  <c r="AA25" i="5" s="1"/>
  <c r="G16" i="5"/>
  <c r="J227" i="1"/>
  <c r="AI81" i="2"/>
  <c r="W81" i="2"/>
  <c r="AI52" i="2"/>
  <c r="W52" i="2"/>
  <c r="AI78" i="2"/>
  <c r="W78" i="2"/>
  <c r="AI49" i="2"/>
  <c r="W49" i="2"/>
  <c r="H232" i="1"/>
  <c r="H234" i="1" s="1"/>
  <c r="R97" i="1"/>
  <c r="AC97" i="1" s="1"/>
  <c r="Q97" i="1"/>
  <c r="AB97" i="1" s="1"/>
  <c r="G52" i="1"/>
  <c r="R102" i="1" s="1"/>
  <c r="AC102" i="1" s="1"/>
  <c r="U142" i="1"/>
  <c r="AF142" i="1" s="1"/>
  <c r="U92" i="1"/>
  <c r="AF92" i="1" s="1"/>
  <c r="U133" i="1"/>
  <c r="AF133" i="1" s="1"/>
  <c r="U83" i="1"/>
  <c r="AF83" i="1" s="1"/>
  <c r="M131" i="1"/>
  <c r="X131" i="1" s="1"/>
  <c r="M81" i="1"/>
  <c r="X81" i="1" s="1"/>
  <c r="J31" i="1"/>
  <c r="P123" i="1"/>
  <c r="AA123" i="1" s="1"/>
  <c r="P73" i="1"/>
  <c r="AA73" i="1" s="1"/>
  <c r="U70" i="1"/>
  <c r="AF70" i="1" s="1"/>
  <c r="J48" i="1"/>
  <c r="U98" i="1" s="1"/>
  <c r="AF98" i="1" s="1"/>
  <c r="U91" i="1"/>
  <c r="AF91" i="1" s="1"/>
  <c r="U141" i="1"/>
  <c r="AF141" i="1" s="1"/>
  <c r="U132" i="1"/>
  <c r="AF132" i="1" s="1"/>
  <c r="U82" i="1"/>
  <c r="AF82" i="1" s="1"/>
  <c r="H137" i="1"/>
  <c r="O131" i="1"/>
  <c r="Z131" i="1" s="1"/>
  <c r="E137" i="1"/>
  <c r="E144" i="1" s="1"/>
  <c r="G144" i="1"/>
  <c r="F137" i="1"/>
  <c r="F144" i="1" s="1"/>
  <c r="H144" i="1"/>
  <c r="M134" i="1"/>
  <c r="X134" i="1" s="1"/>
  <c r="M84" i="1"/>
  <c r="X84" i="1" s="1"/>
  <c r="B35" i="1"/>
  <c r="J34" i="1"/>
  <c r="U129" i="1"/>
  <c r="AF129" i="1" s="1"/>
  <c r="U79" i="1"/>
  <c r="AF79" i="1" s="1"/>
  <c r="U130" i="1"/>
  <c r="AF130" i="1" s="1"/>
  <c r="U80" i="1"/>
  <c r="AF80" i="1" s="1"/>
  <c r="N119" i="1"/>
  <c r="Y119" i="1" s="1"/>
  <c r="N69" i="1"/>
  <c r="Y69" i="1" s="1"/>
  <c r="U113" i="1"/>
  <c r="AF113" i="1" s="1"/>
  <c r="U63" i="1"/>
  <c r="AF63" i="1" s="1"/>
  <c r="Q139" i="1"/>
  <c r="AB139" i="1" s="1"/>
  <c r="Q89" i="1"/>
  <c r="AB89" i="1" s="1"/>
  <c r="F43" i="1"/>
  <c r="R135" i="1"/>
  <c r="AC135" i="1" s="1"/>
  <c r="O123" i="1"/>
  <c r="Z123" i="1" s="1"/>
  <c r="O73" i="1"/>
  <c r="Z73" i="1" s="1"/>
  <c r="U25" i="4"/>
  <c r="AF25" i="4" s="1"/>
  <c r="M32" i="4"/>
  <c r="X32" i="4" s="1"/>
  <c r="M55" i="4"/>
  <c r="X55" i="4" s="1"/>
  <c r="U48" i="4"/>
  <c r="AF48" i="4" s="1"/>
  <c r="O51" i="5"/>
  <c r="Y51" i="5" s="1"/>
  <c r="E42" i="5"/>
  <c r="L51" i="5"/>
  <c r="V51" i="5" s="1"/>
  <c r="B42" i="5"/>
  <c r="Q51" i="5"/>
  <c r="AA51" i="5" s="1"/>
  <c r="G42" i="5"/>
  <c r="W86" i="2"/>
  <c r="AI86" i="2"/>
  <c r="W57" i="2"/>
  <c r="AI57" i="2"/>
  <c r="N25" i="5"/>
  <c r="X25" i="5" s="1"/>
  <c r="D16" i="5"/>
  <c r="W90" i="2"/>
  <c r="AI61" i="2"/>
  <c r="W61" i="2"/>
  <c r="AI90" i="2"/>
  <c r="AI72" i="2"/>
  <c r="W72" i="2"/>
  <c r="AI43" i="2"/>
  <c r="W43" i="2"/>
  <c r="AI91" i="2"/>
  <c r="W91" i="2"/>
  <c r="AI62" i="2"/>
  <c r="W62" i="2"/>
  <c r="U140" i="1"/>
  <c r="AF140" i="1" s="1"/>
  <c r="U90" i="1"/>
  <c r="AF90" i="1" s="1"/>
  <c r="S135" i="1"/>
  <c r="AD135" i="1" s="1"/>
  <c r="S85" i="1"/>
  <c r="AD85" i="1" s="1"/>
  <c r="H37" i="1"/>
  <c r="U122" i="1"/>
  <c r="AF122" i="1" s="1"/>
  <c r="U72" i="1"/>
  <c r="AF72" i="1" s="1"/>
  <c r="S131" i="1"/>
  <c r="AD131" i="1" s="1"/>
  <c r="M123" i="1"/>
  <c r="X123" i="1" s="1"/>
  <c r="M73" i="1"/>
  <c r="X73" i="1" s="1"/>
  <c r="J23" i="1"/>
  <c r="O143" i="1"/>
  <c r="Z143" i="1" s="1"/>
  <c r="O93" i="1"/>
  <c r="Z93" i="1" s="1"/>
  <c r="D44" i="1"/>
  <c r="U117" i="1"/>
  <c r="AF117" i="1" s="1"/>
  <c r="U67" i="1"/>
  <c r="AF67" i="1" s="1"/>
  <c r="J47" i="1"/>
  <c r="R137" i="1"/>
  <c r="AC137" i="1" s="1"/>
  <c r="R87" i="1"/>
  <c r="AC87" i="1" s="1"/>
  <c r="G44" i="1"/>
  <c r="S143" i="1"/>
  <c r="AD143" i="1" s="1"/>
  <c r="M56" i="4" l="1"/>
  <c r="X56" i="4" s="1"/>
  <c r="U49" i="4"/>
  <c r="AF49" i="4" s="1"/>
  <c r="U97" i="1"/>
  <c r="AF97" i="1" s="1"/>
  <c r="J52" i="1"/>
  <c r="U102" i="1" s="1"/>
  <c r="AF102" i="1" s="1"/>
  <c r="W25" i="3"/>
  <c r="M25" i="3"/>
  <c r="D15" i="3"/>
  <c r="D38" i="6"/>
  <c r="Q143" i="1"/>
  <c r="AB143" i="1" s="1"/>
  <c r="Q93" i="1"/>
  <c r="AB93" i="1" s="1"/>
  <c r="F44" i="1"/>
  <c r="M135" i="1"/>
  <c r="X135" i="1" s="1"/>
  <c r="M85" i="1"/>
  <c r="X85" i="1" s="1"/>
  <c r="B37" i="1"/>
  <c r="J35" i="1"/>
  <c r="U131" i="1"/>
  <c r="AF131" i="1" s="1"/>
  <c r="U81" i="1"/>
  <c r="AF81" i="1" s="1"/>
  <c r="T137" i="1"/>
  <c r="AE137" i="1" s="1"/>
  <c r="T87" i="1"/>
  <c r="AE87" i="1" s="1"/>
  <c r="I44" i="1"/>
  <c r="D36" i="6"/>
  <c r="Q137" i="1"/>
  <c r="AB137" i="1" s="1"/>
  <c r="D37" i="6" s="1"/>
  <c r="Q87" i="1"/>
  <c r="AB87" i="1" s="1"/>
  <c r="T49" i="4"/>
  <c r="AE49" i="4" s="1"/>
  <c r="I41" i="4"/>
  <c r="U123" i="1"/>
  <c r="AF123" i="1" s="1"/>
  <c r="U73" i="1"/>
  <c r="AF73" i="1" s="1"/>
  <c r="P135" i="1"/>
  <c r="AA135" i="1" s="1"/>
  <c r="P85" i="1"/>
  <c r="AA85" i="1" s="1"/>
  <c r="E37" i="1"/>
  <c r="O137" i="1"/>
  <c r="Z137" i="1" s="1"/>
  <c r="O87" i="1"/>
  <c r="Z87" i="1" s="1"/>
  <c r="N135" i="1"/>
  <c r="Y135" i="1" s="1"/>
  <c r="N85" i="1"/>
  <c r="Y85" i="1" s="1"/>
  <c r="C37" i="1"/>
  <c r="U134" i="1"/>
  <c r="AF134" i="1" s="1"/>
  <c r="U84" i="1"/>
  <c r="AF84" i="1" s="1"/>
  <c r="J231" i="1"/>
  <c r="T98" i="1"/>
  <c r="AE98" i="1" s="1"/>
  <c r="I52" i="1"/>
  <c r="T102" i="1" s="1"/>
  <c r="AE102" i="1" s="1"/>
  <c r="R144" i="1"/>
  <c r="AC144" i="1" s="1"/>
  <c r="R94" i="1"/>
  <c r="AC94" i="1" s="1"/>
  <c r="G54" i="1"/>
  <c r="R104" i="1" s="1"/>
  <c r="AC104" i="1" s="1"/>
  <c r="S137" i="1"/>
  <c r="AD137" i="1" s="1"/>
  <c r="S87" i="1"/>
  <c r="AD87" i="1" s="1"/>
  <c r="H44" i="1"/>
  <c r="O144" i="1"/>
  <c r="Z144" i="1" s="1"/>
  <c r="O94" i="1"/>
  <c r="Z94" i="1" s="1"/>
  <c r="D54" i="1"/>
  <c r="O104" i="1" s="1"/>
  <c r="Z104" i="1" s="1"/>
  <c r="U119" i="1"/>
  <c r="AF119" i="1" s="1"/>
  <c r="U69" i="1"/>
  <c r="AF69" i="1" s="1"/>
  <c r="U143" i="1"/>
  <c r="AF143" i="1" s="1"/>
  <c r="U93" i="1"/>
  <c r="AF93" i="1" s="1"/>
  <c r="S144" i="1" l="1"/>
  <c r="AD144" i="1" s="1"/>
  <c r="S94" i="1"/>
  <c r="AD94" i="1" s="1"/>
  <c r="H54" i="1"/>
  <c r="S104" i="1" s="1"/>
  <c r="AD104" i="1" s="1"/>
  <c r="N137" i="1"/>
  <c r="Y137" i="1" s="1"/>
  <c r="N87" i="1"/>
  <c r="Y87" i="1" s="1"/>
  <c r="C44" i="1"/>
  <c r="U85" i="1"/>
  <c r="AF85" i="1" s="1"/>
  <c r="Q144" i="1"/>
  <c r="AB144" i="1" s="1"/>
  <c r="Q94" i="1"/>
  <c r="AB94" i="1" s="1"/>
  <c r="F54" i="1"/>
  <c r="Q104" i="1" s="1"/>
  <c r="AB104" i="1" s="1"/>
  <c r="X25" i="3"/>
  <c r="N25" i="3"/>
  <c r="E15" i="3"/>
  <c r="T144" i="1"/>
  <c r="AE144" i="1" s="1"/>
  <c r="T94" i="1"/>
  <c r="AE94" i="1" s="1"/>
  <c r="I54" i="1"/>
  <c r="T104" i="1" s="1"/>
  <c r="AE104" i="1" s="1"/>
  <c r="J232" i="1"/>
  <c r="J234" i="1" s="1"/>
  <c r="J137" i="1"/>
  <c r="J144" i="1" s="1"/>
  <c r="P137" i="1"/>
  <c r="AA137" i="1" s="1"/>
  <c r="P87" i="1"/>
  <c r="AA87" i="1" s="1"/>
  <c r="E44" i="1"/>
  <c r="M137" i="1"/>
  <c r="X137" i="1" s="1"/>
  <c r="M87" i="1"/>
  <c r="X87" i="1" s="1"/>
  <c r="J37" i="1"/>
  <c r="B44" i="1"/>
  <c r="T50" i="4"/>
  <c r="AE50" i="4" s="1"/>
  <c r="J41" i="4"/>
  <c r="U50" i="4" l="1"/>
  <c r="AF50" i="4" s="1"/>
  <c r="M57" i="4"/>
  <c r="X57" i="4" s="1"/>
  <c r="U135" i="1"/>
  <c r="AF135" i="1" s="1"/>
  <c r="Y25" i="3"/>
  <c r="O25" i="3"/>
  <c r="F15" i="3"/>
  <c r="N144" i="1"/>
  <c r="Y144" i="1" s="1"/>
  <c r="N94" i="1"/>
  <c r="Y94" i="1" s="1"/>
  <c r="C54" i="1"/>
  <c r="N104" i="1" s="1"/>
  <c r="Y104" i="1" s="1"/>
  <c r="M144" i="1"/>
  <c r="X144" i="1" s="1"/>
  <c r="M94" i="1"/>
  <c r="X94" i="1" s="1"/>
  <c r="B54" i="1"/>
  <c r="P144" i="1"/>
  <c r="AA144" i="1" s="1"/>
  <c r="E54" i="1"/>
  <c r="P104" i="1" s="1"/>
  <c r="AA104" i="1" s="1"/>
  <c r="P94" i="1"/>
  <c r="AA94" i="1" s="1"/>
  <c r="U137" i="1"/>
  <c r="AF137" i="1" s="1"/>
  <c r="U87" i="1"/>
  <c r="AF87" i="1" s="1"/>
  <c r="J44" i="1"/>
  <c r="U144" i="1" l="1"/>
  <c r="AF144" i="1" s="1"/>
  <c r="U94" i="1"/>
  <c r="AF94" i="1" s="1"/>
  <c r="M104" i="1"/>
  <c r="X104" i="1" s="1"/>
  <c r="J54" i="1"/>
  <c r="U104" i="1" s="1"/>
  <c r="AF104" i="1" s="1"/>
  <c r="P25" i="3"/>
  <c r="G15" i="3"/>
  <c r="Z25" i="3"/>
  <c r="AA25" i="3" l="1"/>
  <c r="Q25" i="3"/>
  <c r="H15" i="3"/>
  <c r="AB25" i="3" l="1"/>
  <c r="R25" i="3"/>
  <c r="I15" i="3"/>
  <c r="AC25" i="3" l="1"/>
  <c r="S25" i="3"/>
  <c r="L30" i="3"/>
</calcChain>
</file>

<file path=xl/comments1.xml><?xml version="1.0" encoding="utf-8"?>
<comments xmlns="http://schemas.openxmlformats.org/spreadsheetml/2006/main">
  <authors>
    <author>Bob</author>
  </authors>
  <commentList>
    <comment ref="A71" authorId="0" shapeId="0">
      <text>
        <r>
          <rPr>
            <b/>
            <sz val="8"/>
            <color indexed="81"/>
            <rFont val="Tahoma"/>
            <family val="2"/>
          </rPr>
          <t>Ofgem:</t>
        </r>
        <r>
          <rPr>
            <sz val="8"/>
            <color indexed="81"/>
            <rFont val="Tahoma"/>
            <family val="2"/>
          </rPr>
          <t xml:space="preserve">
Any concentration level at any location in the building. Data to include all GIB instances including those reportable under RIDDOR</t>
        </r>
      </text>
    </comment>
  </commentList>
</comments>
</file>

<file path=xl/comments2.xml><?xml version="1.0" encoding="utf-8"?>
<comments xmlns="http://schemas.openxmlformats.org/spreadsheetml/2006/main">
  <authors>
    <author>Ruth Irvine</author>
  </authors>
  <commentList>
    <comment ref="B23" authorId="0" shapeId="0">
      <text>
        <r>
          <rPr>
            <b/>
            <sz val="8"/>
            <color indexed="81"/>
            <rFont val="Tahoma"/>
            <family val="2"/>
          </rPr>
          <t>revised baseline based on lastest shrinkage/leakage model - informed as part of the SQ process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9" authorId="0" shapeId="0">
      <text>
        <r>
          <rPr>
            <b/>
            <sz val="8"/>
            <color indexed="81"/>
            <rFont val="Tahoma"/>
            <family val="2"/>
          </rPr>
          <t>revised baseline based on lastest shrinkage/leakage model - informed as part of the SQ process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<sst xmlns="http://schemas.openxmlformats.org/spreadsheetml/2006/main" count="1158" uniqueCount="261">
  <si>
    <t>2.2 Summary of totex costs</t>
  </si>
  <si>
    <t>Current year RRP submission - £m</t>
  </si>
  <si>
    <t>Actuals</t>
  </si>
  <si>
    <t>Current year actuals</t>
  </si>
  <si>
    <t>Forecast</t>
  </si>
  <si>
    <t xml:space="preserve"> Forecast RIIO Total</t>
  </si>
  <si>
    <t>Controllable costs by activity</t>
  </si>
  <si>
    <t>LTS, storage and entry</t>
  </si>
  <si>
    <t>Connections</t>
  </si>
  <si>
    <t>Mains Reinforcement</t>
  </si>
  <si>
    <t>Governors (Replacement)</t>
  </si>
  <si>
    <t>Other Capex</t>
  </si>
  <si>
    <t>of which IT</t>
  </si>
  <si>
    <t>of which Vehicles</t>
  </si>
  <si>
    <t xml:space="preserve">Total Capex </t>
  </si>
  <si>
    <t>HSE driven mains &amp; services</t>
  </si>
  <si>
    <t>Non-HSE driven mains &amp; services</t>
  </si>
  <si>
    <t>Risers</t>
  </si>
  <si>
    <t xml:space="preserve">Total Repex </t>
  </si>
  <si>
    <t>Work Management</t>
  </si>
  <si>
    <t>Emergency</t>
  </si>
  <si>
    <t>Repair</t>
  </si>
  <si>
    <t>Maintenance</t>
  </si>
  <si>
    <t>Statutory independent undertakings (SIUs)</t>
  </si>
  <si>
    <t>Other Direct Activities</t>
  </si>
  <si>
    <t>of which xoserve</t>
  </si>
  <si>
    <t>Total Direct Opex</t>
  </si>
  <si>
    <t>Business support</t>
  </si>
  <si>
    <t>Training &amp; Apprentices</t>
  </si>
  <si>
    <t>Total Indirect Opex</t>
  </si>
  <si>
    <t>Total Opex</t>
  </si>
  <si>
    <t>Of which total sub-deducts</t>
  </si>
  <si>
    <t>Total Controllable costs</t>
  </si>
  <si>
    <t>Non-Controllable costs</t>
  </si>
  <si>
    <t>Licence/network/other</t>
  </si>
  <si>
    <t>NTS exit costs</t>
  </si>
  <si>
    <t>Shrinkage</t>
  </si>
  <si>
    <t>NTS pensions contributions</t>
  </si>
  <si>
    <t>Total non-controllable costs</t>
  </si>
  <si>
    <t>Total funded costs - including uncertainties</t>
  </si>
  <si>
    <t>Of which:  uncertainties*:</t>
  </si>
  <si>
    <t>Smart metering</t>
  </si>
  <si>
    <t>Streetworks</t>
  </si>
  <si>
    <t>Physical Security Upgrade Programme (PSUP)</t>
  </si>
  <si>
    <t>Other</t>
  </si>
  <si>
    <t>Total uncertainties*</t>
  </si>
  <si>
    <t>Total funded costs - excluding uncertainties*</t>
  </si>
  <si>
    <t>Previous year RRP submission - £m</t>
  </si>
  <si>
    <t>Variance from previous year</t>
  </si>
  <si>
    <t>% Variance from previous year</t>
  </si>
  <si>
    <t>Multi occupancy buildings (MoBs)</t>
  </si>
  <si>
    <t>Total sub-deducts</t>
  </si>
  <si>
    <t xml:space="preserve"> </t>
  </si>
  <si>
    <t>Final proposals adjusted with agreed uncertainties - £m</t>
  </si>
  <si>
    <t>Variance from final proposals adjusted with uncertainties</t>
  </si>
  <si>
    <t>% Variance from final proposals adjusted with uncertainties</t>
  </si>
  <si>
    <t>Ofgem Allowance (Post IQI) £m</t>
  </si>
  <si>
    <t>of which Xoserve</t>
  </si>
  <si>
    <t>Total funded costs - including agreed uncertainties**</t>
  </si>
  <si>
    <t>Final proposals - £m</t>
  </si>
  <si>
    <t>2009/10 prices</t>
  </si>
  <si>
    <t>Total funded costs</t>
  </si>
  <si>
    <t>Agreed Uncertainties** £m</t>
  </si>
  <si>
    <t>2009-10 prices</t>
  </si>
  <si>
    <t>Uncertainty</t>
  </si>
  <si>
    <t>RIIO Total</t>
  </si>
  <si>
    <t>PSUP</t>
  </si>
  <si>
    <t>SIUs</t>
  </si>
  <si>
    <t>Other - fuel poor</t>
  </si>
  <si>
    <t>Tier 2A adjustment</t>
  </si>
  <si>
    <t>Xoserve Capex</t>
  </si>
  <si>
    <t>Xoserve Opex</t>
  </si>
  <si>
    <t>Total</t>
  </si>
  <si>
    <t>check</t>
  </si>
  <si>
    <t>Agreed uncertainties** by activity £m</t>
  </si>
  <si>
    <t>* These are uncertainties where a reopener has yet to be triggered and no decision on setting an allowance has been made.</t>
  </si>
  <si>
    <t>** Agreed uncertainties are where a reopener has been triggered and a decision has been made by Ofgem.</t>
  </si>
  <si>
    <t>2.3 Summary of workload</t>
  </si>
  <si>
    <t>Current year RRP submission 2018 - Workload</t>
  </si>
  <si>
    <t>Cost activity</t>
  </si>
  <si>
    <t>Opex</t>
  </si>
  <si>
    <t>Mains condition reports</t>
  </si>
  <si>
    <t>Number</t>
  </si>
  <si>
    <t>Service condition reports</t>
  </si>
  <si>
    <t> No. of holders removed</t>
  </si>
  <si>
    <t>Capex</t>
  </si>
  <si>
    <t>Total mains reinforcement</t>
  </si>
  <si>
    <t>km</t>
  </si>
  <si>
    <t>Total reinforcement Governors</t>
  </si>
  <si>
    <t>Total connection services</t>
  </si>
  <si>
    <t xml:space="preserve"> - New housing services</t>
  </si>
  <si>
    <t xml:space="preserve"> - Existing housing services</t>
  </si>
  <si>
    <t xml:space="preserve"> - Non- domestic services</t>
  </si>
  <si>
    <t xml:space="preserve"> - Fuel poor services </t>
  </si>
  <si>
    <t>Governor intervention</t>
  </si>
  <si>
    <t xml:space="preserve">Number </t>
  </si>
  <si>
    <t>Repex</t>
  </si>
  <si>
    <t>T1 length decommissioned</t>
  </si>
  <si>
    <t>T2 length decommissioned</t>
  </si>
  <si>
    <t>T3 length decommissioned</t>
  </si>
  <si>
    <t>Steel length decommissioned</t>
  </si>
  <si>
    <t>Other length decommissioned</t>
  </si>
  <si>
    <t>No. of services transferred</t>
  </si>
  <si>
    <t>No. of services relaid</t>
  </si>
  <si>
    <t xml:space="preserve">Previous year RRP submission </t>
  </si>
  <si>
    <t>Previous year forecast</t>
  </si>
  <si>
    <t>Units</t>
  </si>
  <si>
    <t>Final proposals</t>
  </si>
  <si>
    <t>Variance from final proposals</t>
  </si>
  <si>
    <t>% Variance from final proposals</t>
  </si>
  <si>
    <t xml:space="preserve">Workload </t>
  </si>
  <si>
    <t>c. 2-3</t>
  </si>
  <si>
    <t>2.4 Summary of safety outputs and secondary deliverables</t>
  </si>
  <si>
    <r>
      <t>Actual/forecast iron mains risk reduction (incidents/year x 10</t>
    </r>
    <r>
      <rPr>
        <b/>
        <vertAlign val="superscript"/>
        <sz val="10"/>
        <color theme="1"/>
        <rFont val="Verdana"/>
        <family val="2"/>
      </rPr>
      <t>-</t>
    </r>
    <r>
      <rPr>
        <b/>
        <vertAlign val="superscript"/>
        <sz val="8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 - Primary output</t>
    </r>
  </si>
  <si>
    <t>Mains risk b/f</t>
  </si>
  <si>
    <t>Mains risk reduction</t>
  </si>
  <si>
    <t>Main risk c/f</t>
  </si>
  <si>
    <t>Cumulative mains risk reduction</t>
  </si>
  <si>
    <r>
      <t>Previous year forecast iron mains risk reduction (incidents/year x 10</t>
    </r>
    <r>
      <rPr>
        <b/>
        <vertAlign val="superscript"/>
        <sz val="10"/>
        <color theme="1"/>
        <rFont val="Verdana"/>
        <family val="2"/>
      </rPr>
      <t>-</t>
    </r>
    <r>
      <rPr>
        <b/>
        <vertAlign val="superscript"/>
        <sz val="8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</si>
  <si>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r>
      <t>Final proposals allowed iron mains risk reduction for RIIO-GD1 (incidents/year x 10</t>
    </r>
    <r>
      <rPr>
        <b/>
        <vertAlign val="superscript"/>
        <sz val="10"/>
        <color theme="1"/>
        <rFont val="Verdana"/>
        <family val="2"/>
      </rPr>
      <t>-</t>
    </r>
    <r>
      <rPr>
        <b/>
        <vertAlign val="superscript"/>
        <sz val="8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</si>
  <si>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r>
      <t>Actual/forecast repair risk (x10</t>
    </r>
    <r>
      <rPr>
        <b/>
        <vertAlign val="superscript"/>
        <sz val="10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</si>
  <si>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t>Repair risk 2013 (start position)</t>
  </si>
  <si>
    <t>Annual repair risk</t>
  </si>
  <si>
    <t>Movement in risk</t>
  </si>
  <si>
    <r>
      <t>Previous year's forecast repair risK  (x10</t>
    </r>
    <r>
      <rPr>
        <b/>
        <vertAlign val="superscript"/>
        <sz val="10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</si>
  <si>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r>
      <t>Variance from previous year  (x10</t>
    </r>
    <r>
      <rPr>
        <b/>
        <vertAlign val="superscript"/>
        <sz val="10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</si>
  <si>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t>Repair risk reduction</t>
  </si>
  <si>
    <t>Safety - Emergency response - Primary output</t>
  </si>
  <si>
    <t>Total PREs</t>
  </si>
  <si>
    <t xml:space="preserve">(1) Controllable </t>
  </si>
  <si>
    <t>Number of controlled gas escapes or controlled other gas emergencies reported</t>
  </si>
  <si>
    <t>Number of responses within timescale (2 hours)</t>
  </si>
  <si>
    <t>Percentage of controlled gas escapes responded to within timescale (2 hours)</t>
  </si>
  <si>
    <t>(2) Non-controllable</t>
  </si>
  <si>
    <t>Number of uncontrolled gas escapes or uncontrolled other gas emergencies reported</t>
  </si>
  <si>
    <t>Number of responses within timescale (1 hour)</t>
  </si>
  <si>
    <t>Percentage of uncontrolled gas escapes responded to within timescale (1 hour)</t>
  </si>
  <si>
    <t>Proportion of gas escapes prevented within 12 hrs (secondary deliverable)</t>
  </si>
  <si>
    <t>Gas in Buildings (GIB) events - Iron mains - Secondary deliverable</t>
  </si>
  <si>
    <t xml:space="preserve">GIB events reportable under RIDDOR ie GIB &gt;= 20% LEL or  &gt; 10kg from spun/cast iron fracture or DI corrosion of mains of: </t>
  </si>
  <si>
    <t xml:space="preserve">GIB events (any % level) from spun/cast iron fracture or DI corrosion of mains of: </t>
  </si>
  <si>
    <t>Cast/spun iron fractures and ductile iron corrosion failures - Secondary deliverable</t>
  </si>
  <si>
    <t xml:space="preserve">Number of spun/cast iron fracture or DI corrosion of mains of: </t>
  </si>
  <si>
    <t>Sub-deduct networks - secondary deliverable</t>
  </si>
  <si>
    <t>% off sub-deduct networks taken of risk</t>
  </si>
  <si>
    <t>Cumulative</t>
  </si>
  <si>
    <t>2.5 Summary of reliability outputs and secondary deliverables</t>
  </si>
  <si>
    <t>Summary of loss of supply volumes and duration - primary output</t>
  </si>
  <si>
    <t>Actual/forecast loss of supply volumes (no.)</t>
  </si>
  <si>
    <t>No. of planned interruptions</t>
  </si>
  <si>
    <t>No. of unplanned interruptions</t>
  </si>
  <si>
    <t>Total interruptions</t>
  </si>
  <si>
    <t>Previous year forecast loss of supply volumes (no.)</t>
  </si>
  <si>
    <t>Final proposals allowed loss of supply volumes (no.)</t>
  </si>
  <si>
    <t>Actual/forecast loss of supply duration (mins - million of)</t>
  </si>
  <si>
    <t>Dur. of planned interruptions</t>
  </si>
  <si>
    <t>Dur. of unplanned interruptions</t>
  </si>
  <si>
    <t>Previous year forecast loss of supply duration (mins - million of)</t>
  </si>
  <si>
    <t>Final proposals allowed loss of supply duration (mins - million of)</t>
  </si>
  <si>
    <t>Summary of telemetered faults - secondary deliverables</t>
  </si>
  <si>
    <t>Actual/forecast telemetered faults (fault * duration/no. of telemetered AGIs - "now faults" (hrs))</t>
  </si>
  <si>
    <t>Telemetered faults</t>
  </si>
  <si>
    <t>Previous year forecast telemetered faults (fault * duration/no. of telemetered AGIs - "now faults" (hrs))</t>
  </si>
  <si>
    <t>Final proposals allowed telemetered faults (fault * duration/no. of telemetered AGIs - "now faults" (hrs))</t>
  </si>
  <si>
    <t xml:space="preserve">Final proposals </t>
  </si>
  <si>
    <t>Summary of pressure systems safety regulations (PSSR) faults - secondary deliverables</t>
  </si>
  <si>
    <t>Actual/forecast PSSR faults - faults/No. of AGIs - PSSR A1 and A2 faults</t>
  </si>
  <si>
    <t>PSSR faults (% or No.)</t>
  </si>
  <si>
    <t>Previous year forecast PSSR faults - faults/No. of AGIs - PSSR A1 and A2 faults</t>
  </si>
  <si>
    <t>Final proposals allowed PSSR faults -  faults/No. of AGIs - PSSR A1 and A2 faults</t>
  </si>
  <si>
    <t>Number and value of offtake meter error reports</t>
  </si>
  <si>
    <t>Volume of offtake meter errors (GWh)</t>
  </si>
  <si>
    <t>Throughput (GWh)</t>
  </si>
  <si>
    <t>Meter errors/throughput (%)</t>
  </si>
  <si>
    <t>Summary Capacity Utilisation</t>
  </si>
  <si>
    <t>Capacity utilisation</t>
  </si>
  <si>
    <t>&lt;/= 50%</t>
  </si>
  <si>
    <t>&gt;50% to &lt;/=70%</t>
  </si>
  <si>
    <t>&gt;70% to &lt;/=80%</t>
  </si>
  <si>
    <t>&gt;80% to &lt;/=100%</t>
  </si>
  <si>
    <t>&gt;100%</t>
  </si>
  <si>
    <t>Total no. of sites</t>
  </si>
  <si>
    <t>2.6  Summary of environmental outputs - shrinkage and leakage volumes</t>
  </si>
  <si>
    <t>Actual/forecast shrinkage volumes (GWh)</t>
  </si>
  <si>
    <t>Shrinkage volumes at start of RIIO-GD1</t>
  </si>
  <si>
    <t>Shrinkage volume</t>
  </si>
  <si>
    <t>Shrinkage baselines</t>
  </si>
  <si>
    <t>Shrinkage volume reduction</t>
  </si>
  <si>
    <t>% shrinkage volume reduction</t>
  </si>
  <si>
    <t>Previous year forecast shrinkage volumes (GWh)</t>
  </si>
  <si>
    <t>Final proposals allowed shrinkage volumes (GWh)</t>
  </si>
  <si>
    <t>Actual/forecast leakage volumes (GWh)</t>
  </si>
  <si>
    <t>Leakage volumes at start of RIIO-GD1</t>
  </si>
  <si>
    <t>Leakage volume</t>
  </si>
  <si>
    <t>Leakage baselines</t>
  </si>
  <si>
    <t>Leakage volume reduction</t>
  </si>
  <si>
    <t>% Leakage volume reduction</t>
  </si>
  <si>
    <t>Previous year forecast leakage volumes (GWh)</t>
  </si>
  <si>
    <t>Final proposals allowed leakage volumes (GWh)</t>
  </si>
  <si>
    <t>2.7 Performance Snapshot</t>
  </si>
  <si>
    <t>Network</t>
  </si>
  <si>
    <t>Actual 
2017/18</t>
  </si>
  <si>
    <t>Number of customers directly connected to network</t>
  </si>
  <si>
    <t>No.</t>
  </si>
  <si>
    <t>Comparator</t>
  </si>
  <si>
    <t>Total GDN network length all pressure tiers</t>
  </si>
  <si>
    <t>Network reliability</t>
  </si>
  <si>
    <t>Overall network reliability</t>
  </si>
  <si>
    <t>% of full delivery 24/7/365</t>
  </si>
  <si>
    <t>Unplanned customer interruptions - exc major incidents</t>
  </si>
  <si>
    <t>No. of customers affected</t>
  </si>
  <si>
    <t>% per number of total customers</t>
  </si>
  <si>
    <t xml:space="preserve">Average duration in minutes </t>
  </si>
  <si>
    <t>Number of major incidents</t>
  </si>
  <si>
    <t>Number : Customers Effected</t>
  </si>
  <si>
    <t>Customer Satisfaction</t>
  </si>
  <si>
    <t>Customer Satisfaction - unplanned interruptions</t>
  </si>
  <si>
    <t>score out of 10</t>
  </si>
  <si>
    <t>Ofgem target (8.01)</t>
  </si>
  <si>
    <t>Customer Satisfaction - planned interruptions</t>
  </si>
  <si>
    <t>Ofgem target (8.04)</t>
  </si>
  <si>
    <t>Customer Satisfaction - connections</t>
  </si>
  <si>
    <t>Ofgem target (8.09)</t>
  </si>
  <si>
    <t>Complaints metric</t>
  </si>
  <si>
    <t>scoring of complaints resolution</t>
  </si>
  <si>
    <t>Ofgem target - need to be below 11.57</t>
  </si>
  <si>
    <t>% of all quotes issued within timescales set</t>
  </si>
  <si>
    <t>%</t>
  </si>
  <si>
    <t>Ofgem target</t>
  </si>
  <si>
    <t>% of jobs substantially completed on date agreed with the customer</t>
  </si>
  <si>
    <t>Social Obligations</t>
  </si>
  <si>
    <t>Fuel Poor Connections made in year</t>
  </si>
  <si>
    <t>% of fuel poor connections RIIO to date vs period to date target</t>
  </si>
  <si>
    <t>% better than target</t>
  </si>
  <si>
    <t>Safety</t>
  </si>
  <si>
    <t xml:space="preserve">Attend Uncontrolled escape in 1 hr </t>
  </si>
  <si>
    <t>% achieved</t>
  </si>
  <si>
    <t>Ofgem target is 97%</t>
  </si>
  <si>
    <t xml:space="preserve">Attend Controlled escape in 2 hrs </t>
  </si>
  <si>
    <t>Annual repair risk performance vs target</t>
  </si>
  <si>
    <t xml:space="preserve">Iron mains risk removed </t>
  </si>
  <si>
    <t>Environmental Impact</t>
  </si>
  <si>
    <t>Reduction in shrinkage in year (gas emmissions)</t>
  </si>
  <si>
    <t>Volume (GWh)</t>
  </si>
  <si>
    <t>Shrinkage actuals compared to target volume</t>
  </si>
  <si>
    <t>Improved shrinkage %</t>
  </si>
  <si>
    <t xml:space="preserve">Renewable gas connections </t>
  </si>
  <si>
    <t>Number : Volume  (scmh)</t>
  </si>
  <si>
    <t>Financials</t>
  </si>
  <si>
    <t>Totex operating costs</t>
  </si>
  <si>
    <t>£m</t>
  </si>
  <si>
    <t>Ofgem Target</t>
  </si>
  <si>
    <t>% lower Totex than allowance</t>
  </si>
  <si>
    <t>Other pass through costs</t>
  </si>
  <si>
    <t>Regulatory Reporting Pack</t>
  </si>
  <si>
    <t>Master</t>
  </si>
  <si>
    <t>2017/18</t>
  </si>
  <si>
    <t>ok</t>
  </si>
  <si>
    <t>2 : 765</t>
  </si>
  <si>
    <t>1 : 550</t>
  </si>
  <si>
    <t>c. 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</si>
</sst>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(* #,##0.00_);_(* \(#,##0.00\);_(* &quot;-&quot;??_);_(@_)"/>
    <numFmt numFmtId="168" formatCode="#,##0.0;[Red]\(#,##0.0\)"/>
    <numFmt numFmtId="169" formatCode="_-* #,##0.000_-;\-* #,##0.000_-;_-* &quot;-&quot;??_-;_-@_-"/>
    <numFmt numFmtId="170" formatCode="0.0%"/>
    <numFmt numFmtId="171" formatCode="#,##0.00;[Red]\(#,##0.00\)"/>
    <numFmt numFmtId="172" formatCode="#,##0.0%\);[Red]\(#,##0.0%\);\-"/>
    <numFmt numFmtId="173" formatCode="#,##0.000;[Red]\(#,##0.000\)"/>
    <numFmt numFmtId="174" formatCode="#,##0.000;[Red]#,##0.000"/>
    <numFmt numFmtId="175" formatCode="_-* #,##0_-;\-* #,##0_-;_-* &quot;-&quot;??_-;_-@_-"/>
    <numFmt numFmtId="176" formatCode="_(* #,##0.0_);_(* \(#,##0.0\);_(* &quot;-&quot;??_);_(@_)"/>
    <numFmt numFmtId="177" formatCode="#,##0;[Red]\(#,##0\);\-"/>
    <numFmt numFmtId="178" formatCode="#,##0_);[Red]\(#,##0\);\-"/>
    <numFmt numFmtId="179" formatCode="_(* #,##0_);_(* \(#,##0\);_(* &quot;-&quot;??_);_(@_)"/>
    <numFmt numFmtId="180" formatCode="#,##0.000;\(#,##0.000\)"/>
    <numFmt numFmtId="181" formatCode="#,##0;[Red]\(#,##0\)"/>
    <numFmt numFmtId="182" formatCode="0.000%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1"/>
      <name val="CG Omega"/>
      <family val="2"/>
    </font>
    <font>
      <b/>
      <sz val="20"/>
      <name val="Verdana"/>
      <family val="2"/>
    </font>
    <font>
      <sz val="11"/>
      <name val="Verdana"/>
      <family val="2"/>
    </font>
    <font>
      <sz val="10"/>
      <name val="Arial"/>
      <family val="2"/>
    </font>
    <font>
      <b/>
      <sz val="16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2"/>
      <color rgb="FFFF0000"/>
      <name val="Verdana"/>
      <family val="2"/>
    </font>
    <font>
      <b/>
      <i/>
      <sz val="10"/>
      <name val="Verdana"/>
      <family val="2"/>
    </font>
    <font>
      <b/>
      <i/>
      <sz val="10"/>
      <color theme="1"/>
      <name val="Verdana"/>
      <family val="2"/>
    </font>
    <font>
      <i/>
      <sz val="10"/>
      <name val="Verdana"/>
      <family val="2"/>
    </font>
    <font>
      <sz val="10"/>
      <color rgb="FFFF0000"/>
      <name val="Verdana"/>
      <family val="2"/>
    </font>
    <font>
      <b/>
      <u/>
      <sz val="10"/>
      <color rgb="FF000000"/>
      <name val="Verdana"/>
      <family val="2"/>
    </font>
    <font>
      <sz val="10"/>
      <color rgb="FF000000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  <font>
      <b/>
      <vertAlign val="superscript"/>
      <sz val="10"/>
      <color theme="1"/>
      <name val="Verdana"/>
      <family val="2"/>
    </font>
    <font>
      <b/>
      <vertAlign val="superscript"/>
      <sz val="8"/>
      <color theme="1"/>
      <name val="Verdana"/>
      <family val="2"/>
    </font>
    <font>
      <vertAlign val="subscript"/>
      <sz val="10"/>
      <name val="Verdana"/>
      <family val="2"/>
    </font>
    <font>
      <b/>
      <sz val="10"/>
      <color rgb="FF0070C0"/>
      <name val="Verdana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Verdana"/>
      <family val="2"/>
    </font>
    <font>
      <u/>
      <sz val="10"/>
      <color theme="10"/>
      <name val="Arial"/>
      <family val="2"/>
    </font>
    <font>
      <sz val="20"/>
      <name val="Verdana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6"/>
      <name val="Verdana"/>
      <family val="2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167" fontId="5" fillId="0" borderId="0" applyFont="0" applyFill="0" applyBorder="0" applyAlignment="0" applyProtection="0"/>
    <xf numFmtId="0" fontId="7" fillId="0" borderId="0"/>
    <xf numFmtId="0" fontId="1" fillId="0" borderId="0"/>
    <xf numFmtId="0" fontId="5" fillId="0" borderId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" fillId="0" borderId="0"/>
    <xf numFmtId="0" fontId="2" fillId="0" borderId="0"/>
    <xf numFmtId="0" fontId="23" fillId="0" borderId="0"/>
    <xf numFmtId="0" fontId="2" fillId="0" borderId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2" fillId="0" borderId="0"/>
    <xf numFmtId="167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609">
    <xf numFmtId="0" fontId="0" fillId="0" borderId="0" xfId="0"/>
    <xf numFmtId="164" fontId="3" fillId="2" borderId="0" xfId="2" applyNumberFormat="1" applyFont="1" applyFill="1"/>
    <xf numFmtId="0" fontId="4" fillId="2" borderId="0" xfId="2" applyFont="1" applyFill="1"/>
    <xf numFmtId="0" fontId="5" fillId="0" borderId="0" xfId="3"/>
    <xf numFmtId="0" fontId="6" fillId="0" borderId="0" xfId="3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Border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wrapText="1"/>
    </xf>
    <xf numFmtId="0" fontId="7" fillId="0" borderId="5" xfId="0" applyFont="1" applyBorder="1"/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wrapText="1"/>
    </xf>
    <xf numFmtId="0" fontId="8" fillId="0" borderId="5" xfId="0" applyFont="1" applyBorder="1"/>
    <xf numFmtId="0" fontId="8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wrapText="1"/>
    </xf>
    <xf numFmtId="165" fontId="7" fillId="0" borderId="5" xfId="0" applyNumberFormat="1" applyFont="1" applyBorder="1" applyAlignment="1">
      <alignment vertical="top"/>
    </xf>
    <xf numFmtId="166" fontId="9" fillId="3" borderId="2" xfId="0" applyNumberFormat="1" applyFont="1" applyFill="1" applyBorder="1" applyAlignment="1">
      <alignment vertical="top"/>
    </xf>
    <xf numFmtId="166" fontId="7" fillId="4" borderId="1" xfId="4" applyNumberFormat="1" applyFont="1" applyFill="1" applyBorder="1"/>
    <xf numFmtId="166" fontId="7" fillId="3" borderId="4" xfId="0" applyNumberFormat="1" applyFont="1" applyFill="1" applyBorder="1" applyAlignment="1">
      <alignment vertical="top"/>
    </xf>
    <xf numFmtId="166" fontId="9" fillId="3" borderId="11" xfId="0" applyNumberFormat="1" applyFont="1" applyFill="1" applyBorder="1" applyAlignment="1">
      <alignment vertical="top"/>
    </xf>
    <xf numFmtId="166" fontId="7" fillId="4" borderId="5" xfId="4" applyNumberFormat="1" applyFont="1" applyFill="1" applyBorder="1"/>
    <xf numFmtId="166" fontId="7" fillId="3" borderId="10" xfId="0" applyNumberFormat="1" applyFont="1" applyFill="1" applyBorder="1" applyAlignment="1">
      <alignment vertical="top"/>
    </xf>
    <xf numFmtId="168" fontId="7" fillId="0" borderId="5" xfId="0" applyNumberFormat="1" applyFont="1" applyBorder="1" applyAlignment="1">
      <alignment horizontal="left" vertical="top" indent="1"/>
    </xf>
    <xf numFmtId="166" fontId="11" fillId="3" borderId="11" xfId="0" applyNumberFormat="1" applyFont="1" applyFill="1" applyBorder="1" applyAlignment="1">
      <alignment vertical="top"/>
    </xf>
    <xf numFmtId="166" fontId="12" fillId="3" borderId="10" xfId="0" applyNumberFormat="1" applyFont="1" applyFill="1" applyBorder="1" applyAlignment="1">
      <alignment vertical="top"/>
    </xf>
    <xf numFmtId="165" fontId="9" fillId="0" borderId="12" xfId="0" applyNumberFormat="1" applyFont="1" applyBorder="1" applyAlignment="1">
      <alignment vertical="top"/>
    </xf>
    <xf numFmtId="166" fontId="9" fillId="3" borderId="12" xfId="0" applyNumberFormat="1" applyFont="1" applyFill="1" applyBorder="1" applyAlignment="1">
      <alignment vertical="top"/>
    </xf>
    <xf numFmtId="43" fontId="7" fillId="0" borderId="0" xfId="0" applyNumberFormat="1" applyFont="1"/>
    <xf numFmtId="166" fontId="9" fillId="3" borderId="4" xfId="0" applyNumberFormat="1" applyFont="1" applyFill="1" applyBorder="1" applyAlignment="1">
      <alignment vertical="top"/>
    </xf>
    <xf numFmtId="166" fontId="9" fillId="3" borderId="10" xfId="0" applyNumberFormat="1" applyFont="1" applyFill="1" applyBorder="1" applyAlignment="1">
      <alignment vertical="top"/>
    </xf>
    <xf numFmtId="166" fontId="9" fillId="3" borderId="6" xfId="0" applyNumberFormat="1" applyFont="1" applyFill="1" applyBorder="1" applyAlignment="1">
      <alignment vertical="top"/>
    </xf>
    <xf numFmtId="166" fontId="9" fillId="3" borderId="8" xfId="0" applyNumberFormat="1" applyFont="1" applyFill="1" applyBorder="1" applyAlignment="1">
      <alignment vertical="top"/>
    </xf>
    <xf numFmtId="0" fontId="13" fillId="0" borderId="0" xfId="0" applyFont="1"/>
    <xf numFmtId="168" fontId="7" fillId="0" borderId="5" xfId="0" applyNumberFormat="1" applyFont="1" applyBorder="1" applyAlignment="1">
      <alignment vertical="top"/>
    </xf>
    <xf numFmtId="166" fontId="9" fillId="3" borderId="5" xfId="0" applyNumberFormat="1" applyFont="1" applyFill="1" applyBorder="1" applyAlignment="1">
      <alignment vertical="top"/>
    </xf>
    <xf numFmtId="166" fontId="7" fillId="3" borderId="5" xfId="0" applyNumberFormat="1" applyFont="1" applyFill="1" applyBorder="1" applyAlignment="1">
      <alignment vertical="top"/>
    </xf>
    <xf numFmtId="166" fontId="12" fillId="3" borderId="5" xfId="0" applyNumberFormat="1" applyFont="1" applyFill="1" applyBorder="1" applyAlignment="1">
      <alignment vertical="top"/>
    </xf>
    <xf numFmtId="0" fontId="9" fillId="0" borderId="12" xfId="0" applyFont="1" applyBorder="1" applyAlignment="1">
      <alignment vertical="top"/>
    </xf>
    <xf numFmtId="166" fontId="9" fillId="3" borderId="12" xfId="0" applyNumberFormat="1" applyFont="1" applyFill="1" applyBorder="1" applyAlignment="1">
      <alignment vertical="top" wrapText="1"/>
    </xf>
    <xf numFmtId="166" fontId="9" fillId="3" borderId="11" xfId="5" applyNumberFormat="1" applyFont="1" applyFill="1" applyBorder="1" applyAlignment="1">
      <alignment vertical="top"/>
    </xf>
    <xf numFmtId="166" fontId="7" fillId="3" borderId="5" xfId="5" applyNumberFormat="1" applyFill="1" applyBorder="1" applyAlignment="1">
      <alignment vertical="top"/>
    </xf>
    <xf numFmtId="0" fontId="7" fillId="0" borderId="5" xfId="5" applyBorder="1" applyAlignment="1">
      <alignment vertical="top"/>
    </xf>
    <xf numFmtId="0" fontId="9" fillId="0" borderId="12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166" fontId="14" fillId="3" borderId="1" xfId="0" applyNumberFormat="1" applyFont="1" applyFill="1" applyBorder="1" applyAlignment="1">
      <alignment vertical="top" wrapText="1"/>
    </xf>
    <xf numFmtId="0" fontId="8" fillId="0" borderId="1" xfId="0" applyFont="1" applyBorder="1"/>
    <xf numFmtId="166" fontId="8" fillId="3" borderId="1" xfId="0" applyNumberFormat="1" applyFont="1" applyFill="1" applyBorder="1"/>
    <xf numFmtId="165" fontId="9" fillId="0" borderId="13" xfId="0" applyNumberFormat="1" applyFont="1" applyBorder="1" applyAlignment="1">
      <alignment vertical="top"/>
    </xf>
    <xf numFmtId="168" fontId="9" fillId="0" borderId="14" xfId="0" applyNumberFormat="1" applyFont="1" applyBorder="1"/>
    <xf numFmtId="168" fontId="9" fillId="3" borderId="15" xfId="0" applyNumberFormat="1" applyFont="1" applyFill="1" applyBorder="1"/>
    <xf numFmtId="168" fontId="7" fillId="0" borderId="0" xfId="0" applyNumberFormat="1" applyFont="1"/>
    <xf numFmtId="166" fontId="7" fillId="3" borderId="5" xfId="4" applyNumberFormat="1" applyFont="1" applyFill="1" applyBorder="1"/>
    <xf numFmtId="166" fontId="7" fillId="3" borderId="5" xfId="4" applyNumberFormat="1" applyFont="1" applyFill="1" applyBorder="1" applyAlignment="1">
      <alignment vertical="top"/>
    </xf>
    <xf numFmtId="168" fontId="7" fillId="0" borderId="9" xfId="0" applyNumberFormat="1" applyFont="1" applyBorder="1" applyAlignment="1">
      <alignment vertical="top"/>
    </xf>
    <xf numFmtId="166" fontId="7" fillId="3" borderId="9" xfId="4" applyNumberFormat="1" applyFont="1" applyFill="1" applyBorder="1" applyAlignment="1">
      <alignment vertical="top"/>
    </xf>
    <xf numFmtId="0" fontId="8" fillId="0" borderId="12" xfId="0" applyFont="1" applyBorder="1" applyAlignment="1">
      <alignment wrapText="1"/>
    </xf>
    <xf numFmtId="168" fontId="9" fillId="3" borderId="12" xfId="0" applyNumberFormat="1" applyFont="1" applyFill="1" applyBorder="1"/>
    <xf numFmtId="168" fontId="9" fillId="3" borderId="9" xfId="0" applyNumberFormat="1" applyFont="1" applyFill="1" applyBorder="1"/>
    <xf numFmtId="168" fontId="9" fillId="0" borderId="0" xfId="0" applyNumberFormat="1" applyFont="1"/>
    <xf numFmtId="0" fontId="9" fillId="0" borderId="13" xfId="0" applyFont="1" applyBorder="1"/>
    <xf numFmtId="168" fontId="14" fillId="0" borderId="14" xfId="0" applyNumberFormat="1" applyFont="1" applyBorder="1"/>
    <xf numFmtId="168" fontId="7" fillId="0" borderId="14" xfId="0" applyNumberFormat="1" applyFont="1" applyBorder="1"/>
    <xf numFmtId="168" fontId="7" fillId="0" borderId="15" xfId="0" applyNumberFormat="1" applyFont="1" applyBorder="1"/>
    <xf numFmtId="165" fontId="7" fillId="0" borderId="11" xfId="0" applyNumberFormat="1" applyFont="1" applyBorder="1" applyAlignment="1">
      <alignment vertical="top"/>
    </xf>
    <xf numFmtId="168" fontId="9" fillId="3" borderId="5" xfId="0" applyNumberFormat="1" applyFont="1" applyFill="1" applyBorder="1" applyAlignment="1">
      <alignment vertical="top"/>
    </xf>
    <xf numFmtId="168" fontId="9" fillId="3" borderId="1" xfId="0" applyNumberFormat="1" applyFont="1" applyFill="1" applyBorder="1" applyAlignment="1">
      <alignment vertical="top"/>
    </xf>
    <xf numFmtId="165" fontId="9" fillId="0" borderId="9" xfId="0" applyNumberFormat="1" applyFont="1" applyBorder="1" applyAlignment="1">
      <alignment vertical="top"/>
    </xf>
    <xf numFmtId="165" fontId="14" fillId="0" borderId="9" xfId="0" applyNumberFormat="1" applyFont="1" applyBorder="1" applyAlignment="1">
      <alignment vertical="top"/>
    </xf>
    <xf numFmtId="168" fontId="14" fillId="0" borderId="15" xfId="0" applyNumberFormat="1" applyFont="1" applyBorder="1"/>
    <xf numFmtId="168" fontId="14" fillId="0" borderId="12" xfId="0" applyNumberFormat="1" applyFont="1" applyBorder="1"/>
    <xf numFmtId="168" fontId="15" fillId="0" borderId="12" xfId="0" applyNumberFormat="1" applyFont="1" applyBorder="1"/>
    <xf numFmtId="166" fontId="8" fillId="3" borderId="12" xfId="0" applyNumberFormat="1" applyFont="1" applyFill="1" applyBorder="1"/>
    <xf numFmtId="168" fontId="8" fillId="0" borderId="0" xfId="0" applyNumberFormat="1" applyFont="1"/>
    <xf numFmtId="0" fontId="8" fillId="3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0" xfId="0" applyFont="1" applyFill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wrapText="1"/>
    </xf>
    <xf numFmtId="166" fontId="7" fillId="3" borderId="1" xfId="4" applyNumberFormat="1" applyFont="1" applyFill="1" applyBorder="1"/>
    <xf numFmtId="166" fontId="7" fillId="3" borderId="4" xfId="4" applyNumberFormat="1" applyFont="1" applyFill="1" applyBorder="1"/>
    <xf numFmtId="169" fontId="9" fillId="3" borderId="2" xfId="0" applyNumberFormat="1" applyFont="1" applyFill="1" applyBorder="1" applyAlignment="1">
      <alignment vertical="top"/>
    </xf>
    <xf numFmtId="170" fontId="9" fillId="3" borderId="2" xfId="1" applyNumberFormat="1" applyFont="1" applyFill="1" applyBorder="1" applyAlignment="1">
      <alignment vertical="top"/>
    </xf>
    <xf numFmtId="170" fontId="7" fillId="3" borderId="1" xfId="1" applyNumberFormat="1" applyFont="1" applyFill="1" applyBorder="1"/>
    <xf numFmtId="170" fontId="7" fillId="3" borderId="4" xfId="1" applyNumberFormat="1" applyFont="1" applyFill="1" applyBorder="1"/>
    <xf numFmtId="170" fontId="7" fillId="3" borderId="4" xfId="1" applyNumberFormat="1" applyFont="1" applyFill="1" applyBorder="1" applyAlignment="1">
      <alignment vertical="top"/>
    </xf>
    <xf numFmtId="166" fontId="7" fillId="3" borderId="10" xfId="4" applyNumberFormat="1" applyFont="1" applyFill="1" applyBorder="1"/>
    <xf numFmtId="169" fontId="9" fillId="3" borderId="11" xfId="0" applyNumberFormat="1" applyFont="1" applyFill="1" applyBorder="1" applyAlignment="1">
      <alignment vertical="top"/>
    </xf>
    <xf numFmtId="170" fontId="9" fillId="3" borderId="11" xfId="1" applyNumberFormat="1" applyFont="1" applyFill="1" applyBorder="1" applyAlignment="1">
      <alignment vertical="top"/>
    </xf>
    <xf numFmtId="170" fontId="7" fillId="3" borderId="5" xfId="1" applyNumberFormat="1" applyFont="1" applyFill="1" applyBorder="1"/>
    <xf numFmtId="170" fontId="7" fillId="3" borderId="10" xfId="1" applyNumberFormat="1" applyFont="1" applyFill="1" applyBorder="1"/>
    <xf numFmtId="170" fontId="7" fillId="3" borderId="10" xfId="1" applyNumberFormat="1" applyFont="1" applyFill="1" applyBorder="1" applyAlignment="1">
      <alignment vertical="top"/>
    </xf>
    <xf numFmtId="166" fontId="12" fillId="3" borderId="5" xfId="4" applyNumberFormat="1" applyFont="1" applyFill="1" applyBorder="1"/>
    <xf numFmtId="166" fontId="12" fillId="3" borderId="10" xfId="4" applyNumberFormat="1" applyFont="1" applyFill="1" applyBorder="1"/>
    <xf numFmtId="169" fontId="11" fillId="3" borderId="11" xfId="0" applyNumberFormat="1" applyFont="1" applyFill="1" applyBorder="1" applyAlignment="1">
      <alignment vertical="top"/>
    </xf>
    <xf numFmtId="170" fontId="11" fillId="3" borderId="11" xfId="1" applyNumberFormat="1" applyFont="1" applyFill="1" applyBorder="1" applyAlignment="1">
      <alignment vertical="top"/>
    </xf>
    <xf numFmtId="170" fontId="12" fillId="3" borderId="5" xfId="1" applyNumberFormat="1" applyFont="1" applyFill="1" applyBorder="1"/>
    <xf numFmtId="170" fontId="12" fillId="3" borderId="10" xfId="1" applyNumberFormat="1" applyFont="1" applyFill="1" applyBorder="1"/>
    <xf numFmtId="170" fontId="12" fillId="3" borderId="10" xfId="1" applyNumberFormat="1" applyFont="1" applyFill="1" applyBorder="1" applyAlignment="1">
      <alignment vertical="top"/>
    </xf>
    <xf numFmtId="166" fontId="12" fillId="3" borderId="9" xfId="4" applyNumberFormat="1" applyFont="1" applyFill="1" applyBorder="1"/>
    <xf numFmtId="166" fontId="12" fillId="3" borderId="8" xfId="4" applyNumberFormat="1" applyFont="1" applyFill="1" applyBorder="1"/>
    <xf numFmtId="170" fontId="12" fillId="3" borderId="9" xfId="1" applyNumberFormat="1" applyFont="1" applyFill="1" applyBorder="1"/>
    <xf numFmtId="170" fontId="12" fillId="3" borderId="8" xfId="1" applyNumberFormat="1" applyFont="1" applyFill="1" applyBorder="1"/>
    <xf numFmtId="166" fontId="9" fillId="3" borderId="9" xfId="0" applyNumberFormat="1" applyFont="1" applyFill="1" applyBorder="1" applyAlignment="1">
      <alignment vertical="top"/>
    </xf>
    <xf numFmtId="169" fontId="9" fillId="3" borderId="12" xfId="0" applyNumberFormat="1" applyFont="1" applyFill="1" applyBorder="1" applyAlignment="1">
      <alignment vertical="top"/>
    </xf>
    <xf numFmtId="170" fontId="9" fillId="3" borderId="12" xfId="1" applyNumberFormat="1" applyFont="1" applyFill="1" applyBorder="1" applyAlignment="1">
      <alignment vertical="top"/>
    </xf>
    <xf numFmtId="170" fontId="9" fillId="3" borderId="5" xfId="1" applyNumberFormat="1" applyFont="1" applyFill="1" applyBorder="1" applyAlignment="1">
      <alignment vertical="top"/>
    </xf>
    <xf numFmtId="170" fontId="9" fillId="3" borderId="9" xfId="1" applyNumberFormat="1" applyFont="1" applyFill="1" applyBorder="1" applyAlignment="1">
      <alignment vertical="top"/>
    </xf>
    <xf numFmtId="170" fontId="9" fillId="3" borderId="4" xfId="1" applyNumberFormat="1" applyFont="1" applyFill="1" applyBorder="1" applyAlignment="1">
      <alignment vertical="top"/>
    </xf>
    <xf numFmtId="170" fontId="9" fillId="3" borderId="10" xfId="1" applyNumberFormat="1" applyFont="1" applyFill="1" applyBorder="1" applyAlignment="1">
      <alignment vertical="top"/>
    </xf>
    <xf numFmtId="169" fontId="9" fillId="3" borderId="6" xfId="0" applyNumberFormat="1" applyFont="1" applyFill="1" applyBorder="1" applyAlignment="1">
      <alignment vertical="top"/>
    </xf>
    <xf numFmtId="166" fontId="7" fillId="3" borderId="9" xfId="4" applyNumberFormat="1" applyFont="1" applyFill="1" applyBorder="1"/>
    <xf numFmtId="170" fontId="9" fillId="3" borderId="6" xfId="1" applyNumberFormat="1" applyFont="1" applyFill="1" applyBorder="1" applyAlignment="1">
      <alignment vertical="top"/>
    </xf>
    <xf numFmtId="170" fontId="7" fillId="3" borderId="9" xfId="1" applyNumberFormat="1" applyFont="1" applyFill="1" applyBorder="1"/>
    <xf numFmtId="170" fontId="9" fillId="3" borderId="8" xfId="1" applyNumberFormat="1" applyFont="1" applyFill="1" applyBorder="1" applyAlignment="1">
      <alignment vertical="top"/>
    </xf>
    <xf numFmtId="166" fontId="9" fillId="3" borderId="13" xfId="0" applyNumberFormat="1" applyFont="1" applyFill="1" applyBorder="1" applyAlignment="1">
      <alignment vertical="top"/>
    </xf>
    <xf numFmtId="166" fontId="9" fillId="3" borderId="12" xfId="4" applyNumberFormat="1" applyFont="1" applyFill="1" applyBorder="1"/>
    <xf numFmtId="166" fontId="9" fillId="3" borderId="15" xfId="4" applyNumberFormat="1" applyFont="1" applyFill="1" applyBorder="1"/>
    <xf numFmtId="166" fontId="9" fillId="3" borderId="15" xfId="0" applyNumberFormat="1" applyFont="1" applyFill="1" applyBorder="1" applyAlignment="1">
      <alignment vertical="top"/>
    </xf>
    <xf numFmtId="166" fontId="9" fillId="3" borderId="1" xfId="0" applyNumberFormat="1" applyFont="1" applyFill="1" applyBorder="1" applyAlignment="1">
      <alignment vertical="top"/>
    </xf>
    <xf numFmtId="170" fontId="9" fillId="3" borderId="1" xfId="1" applyNumberFormat="1" applyFont="1" applyFill="1" applyBorder="1" applyAlignment="1">
      <alignment vertical="top"/>
    </xf>
    <xf numFmtId="169" fontId="9" fillId="3" borderId="5" xfId="0" applyNumberFormat="1" applyFont="1" applyFill="1" applyBorder="1" applyAlignment="1">
      <alignment vertical="top"/>
    </xf>
    <xf numFmtId="170" fontId="7" fillId="3" borderId="5" xfId="1" applyNumberFormat="1" applyFont="1" applyFill="1" applyBorder="1" applyAlignment="1">
      <alignment vertical="top"/>
    </xf>
    <xf numFmtId="170" fontId="12" fillId="3" borderId="5" xfId="1" applyNumberFormat="1" applyFont="1" applyFill="1" applyBorder="1" applyAlignment="1">
      <alignment vertical="top"/>
    </xf>
    <xf numFmtId="169" fontId="9" fillId="3" borderId="12" xfId="0" applyNumberFormat="1" applyFont="1" applyFill="1" applyBorder="1" applyAlignment="1">
      <alignment vertical="top" wrapText="1"/>
    </xf>
    <xf numFmtId="166" fontId="9" fillId="3" borderId="1" xfId="0" applyNumberFormat="1" applyFont="1" applyFill="1" applyBorder="1" applyAlignment="1">
      <alignment vertical="top" wrapText="1"/>
    </xf>
    <xf numFmtId="166" fontId="9" fillId="3" borderId="9" xfId="0" applyNumberFormat="1" applyFont="1" applyFill="1" applyBorder="1" applyAlignment="1">
      <alignment vertical="top" wrapText="1"/>
    </xf>
    <xf numFmtId="170" fontId="9" fillId="3" borderId="12" xfId="1" applyNumberFormat="1" applyFont="1" applyFill="1" applyBorder="1" applyAlignment="1">
      <alignment vertical="top" wrapText="1"/>
    </xf>
    <xf numFmtId="170" fontId="9" fillId="3" borderId="1" xfId="1" applyNumberFormat="1" applyFont="1" applyFill="1" applyBorder="1" applyAlignment="1">
      <alignment vertical="top" wrapText="1"/>
    </xf>
    <xf numFmtId="170" fontId="9" fillId="3" borderId="9" xfId="1" applyNumberFormat="1" applyFont="1" applyFill="1" applyBorder="1" applyAlignment="1">
      <alignment vertical="top" wrapText="1"/>
    </xf>
    <xf numFmtId="169" fontId="9" fillId="3" borderId="11" xfId="5" applyNumberFormat="1" applyFont="1" applyFill="1" applyBorder="1" applyAlignment="1">
      <alignment vertical="top"/>
    </xf>
    <xf numFmtId="168" fontId="16" fillId="0" borderId="5" xfId="0" applyNumberFormat="1" applyFont="1" applyBorder="1" applyAlignment="1">
      <alignment vertical="top"/>
    </xf>
    <xf numFmtId="166" fontId="14" fillId="3" borderId="11" xfId="0" applyNumberFormat="1" applyFont="1" applyFill="1" applyBorder="1" applyAlignment="1">
      <alignment vertical="top"/>
    </xf>
    <xf numFmtId="166" fontId="16" fillId="3" borderId="5" xfId="4" applyNumberFormat="1" applyFont="1" applyFill="1" applyBorder="1"/>
    <xf numFmtId="166" fontId="16" fillId="3" borderId="10" xfId="4" applyNumberFormat="1" applyFont="1" applyFill="1" applyBorder="1"/>
    <xf numFmtId="166" fontId="16" fillId="3" borderId="10" xfId="0" applyNumberFormat="1" applyFont="1" applyFill="1" applyBorder="1" applyAlignment="1">
      <alignment vertical="top"/>
    </xf>
    <xf numFmtId="168" fontId="16" fillId="0" borderId="0" xfId="0" applyNumberFormat="1" applyFont="1"/>
    <xf numFmtId="169" fontId="14" fillId="3" borderId="1" xfId="0" applyNumberFormat="1" applyFont="1" applyFill="1" applyBorder="1" applyAlignment="1">
      <alignment vertical="top" wrapText="1"/>
    </xf>
    <xf numFmtId="166" fontId="14" fillId="3" borderId="5" xfId="0" applyNumberFormat="1" applyFont="1" applyFill="1" applyBorder="1" applyAlignment="1">
      <alignment vertical="top" wrapText="1"/>
    </xf>
    <xf numFmtId="0" fontId="16" fillId="0" borderId="0" xfId="0" applyFont="1"/>
    <xf numFmtId="170" fontId="14" fillId="3" borderId="11" xfId="1" applyNumberFormat="1" applyFont="1" applyFill="1" applyBorder="1" applyAlignment="1">
      <alignment vertical="top"/>
    </xf>
    <xf numFmtId="170" fontId="14" fillId="3" borderId="9" xfId="1" applyNumberFormat="1" applyFont="1" applyFill="1" applyBorder="1" applyAlignment="1">
      <alignment vertical="top" wrapText="1"/>
    </xf>
    <xf numFmtId="170" fontId="14" fillId="3" borderId="5" xfId="1" applyNumberFormat="1" applyFont="1" applyFill="1" applyBorder="1" applyAlignment="1">
      <alignment vertical="top"/>
    </xf>
    <xf numFmtId="169" fontId="8" fillId="3" borderId="1" xfId="0" applyNumberFormat="1" applyFont="1" applyFill="1" applyBorder="1"/>
    <xf numFmtId="170" fontId="8" fillId="3" borderId="1" xfId="1" applyNumberFormat="1" applyFont="1" applyFill="1" applyBorder="1"/>
    <xf numFmtId="169" fontId="9" fillId="3" borderId="14" xfId="0" applyNumberFormat="1" applyFont="1" applyFill="1" applyBorder="1"/>
    <xf numFmtId="168" fontId="9" fillId="3" borderId="14" xfId="0" applyNumberFormat="1" applyFont="1" applyFill="1" applyBorder="1"/>
    <xf numFmtId="168" fontId="8" fillId="3" borderId="14" xfId="0" applyNumberFormat="1" applyFont="1" applyFill="1" applyBorder="1"/>
    <xf numFmtId="170" fontId="9" fillId="3" borderId="14" xfId="1" applyNumberFormat="1" applyFont="1" applyFill="1" applyBorder="1"/>
    <xf numFmtId="170" fontId="8" fillId="3" borderId="14" xfId="1" applyNumberFormat="1" applyFont="1" applyFill="1" applyBorder="1"/>
    <xf numFmtId="170" fontId="9" fillId="3" borderId="15" xfId="1" applyNumberFormat="1" applyFont="1" applyFill="1" applyBorder="1"/>
    <xf numFmtId="168" fontId="7" fillId="0" borderId="11" xfId="0" applyNumberFormat="1" applyFont="1" applyBorder="1" applyAlignment="1">
      <alignment vertical="top"/>
    </xf>
    <xf numFmtId="166" fontId="7" fillId="3" borderId="11" xfId="4" applyNumberFormat="1" applyFont="1" applyFill="1" applyBorder="1"/>
    <xf numFmtId="170" fontId="7" fillId="3" borderId="11" xfId="1" applyNumberFormat="1" applyFont="1" applyFill="1" applyBorder="1"/>
    <xf numFmtId="168" fontId="7" fillId="0" borderId="6" xfId="0" applyNumberFormat="1" applyFont="1" applyBorder="1" applyAlignment="1">
      <alignment vertical="top"/>
    </xf>
    <xf numFmtId="166" fontId="7" fillId="3" borderId="8" xfId="4" applyNumberFormat="1" applyFont="1" applyFill="1" applyBorder="1"/>
    <xf numFmtId="166" fontId="7" fillId="3" borderId="8" xfId="0" applyNumberFormat="1" applyFont="1" applyFill="1" applyBorder="1" applyAlignment="1">
      <alignment vertical="top"/>
    </xf>
    <xf numFmtId="166" fontId="7" fillId="3" borderId="6" xfId="4" applyNumberFormat="1" applyFont="1" applyFill="1" applyBorder="1"/>
    <xf numFmtId="170" fontId="7" fillId="3" borderId="6" xfId="1" applyNumberFormat="1" applyFont="1" applyFill="1" applyBorder="1"/>
    <xf numFmtId="170" fontId="7" fillId="3" borderId="9" xfId="1" applyNumberFormat="1" applyFont="1" applyFill="1" applyBorder="1" applyAlignment="1">
      <alignment vertical="top"/>
    </xf>
    <xf numFmtId="168" fontId="8" fillId="3" borderId="12" xfId="0" applyNumberFormat="1" applyFont="1" applyFill="1" applyBorder="1"/>
    <xf numFmtId="169" fontId="9" fillId="3" borderId="15" xfId="0" applyNumberFormat="1" applyFont="1" applyFill="1" applyBorder="1"/>
    <xf numFmtId="170" fontId="9" fillId="3" borderId="9" xfId="1" applyNumberFormat="1" applyFont="1" applyFill="1" applyBorder="1"/>
    <xf numFmtId="170" fontId="8" fillId="3" borderId="12" xfId="1" applyNumberFormat="1" applyFont="1" applyFill="1" applyBorder="1"/>
    <xf numFmtId="170" fontId="9" fillId="3" borderId="12" xfId="1" applyNumberFormat="1" applyFont="1" applyFill="1" applyBorder="1"/>
    <xf numFmtId="0" fontId="14" fillId="0" borderId="13" xfId="0" applyFont="1" applyBorder="1"/>
    <xf numFmtId="168" fontId="16" fillId="0" borderId="3" xfId="0" applyNumberFormat="1" applyFont="1" applyBorder="1"/>
    <xf numFmtId="168" fontId="16" fillId="0" borderId="14" xfId="0" applyNumberFormat="1" applyFont="1" applyBorder="1"/>
    <xf numFmtId="168" fontId="16" fillId="0" borderId="15" xfId="0" applyNumberFormat="1" applyFont="1" applyBorder="1"/>
    <xf numFmtId="165" fontId="16" fillId="0" borderId="11" xfId="0" applyNumberFormat="1" applyFont="1" applyBorder="1" applyAlignment="1">
      <alignment vertical="top"/>
    </xf>
    <xf numFmtId="168" fontId="16" fillId="3" borderId="1" xfId="0" applyNumberFormat="1" applyFont="1" applyFill="1" applyBorder="1" applyAlignment="1">
      <alignment vertical="top"/>
    </xf>
    <xf numFmtId="168" fontId="14" fillId="3" borderId="1" xfId="0" applyNumberFormat="1" applyFont="1" applyFill="1" applyBorder="1" applyAlignment="1">
      <alignment vertical="top"/>
    </xf>
    <xf numFmtId="168" fontId="16" fillId="3" borderId="5" xfId="0" applyNumberFormat="1" applyFont="1" applyFill="1" applyBorder="1" applyAlignment="1">
      <alignment vertical="top"/>
    </xf>
    <xf numFmtId="168" fontId="14" fillId="3" borderId="5" xfId="0" applyNumberFormat="1" applyFont="1" applyFill="1" applyBorder="1" applyAlignment="1">
      <alignment vertical="top"/>
    </xf>
    <xf numFmtId="168" fontId="16" fillId="3" borderId="9" xfId="0" applyNumberFormat="1" applyFont="1" applyFill="1" applyBorder="1" applyAlignment="1">
      <alignment vertical="top"/>
    </xf>
    <xf numFmtId="168" fontId="14" fillId="3" borderId="9" xfId="0" applyNumberFormat="1" applyFont="1" applyFill="1" applyBorder="1" applyAlignment="1">
      <alignment vertical="top"/>
    </xf>
    <xf numFmtId="165" fontId="14" fillId="0" borderId="12" xfId="0" applyNumberFormat="1" applyFont="1" applyBorder="1" applyAlignment="1">
      <alignment vertical="top"/>
    </xf>
    <xf numFmtId="168" fontId="14" fillId="3" borderId="8" xfId="0" applyNumberFormat="1" applyFont="1" applyFill="1" applyBorder="1"/>
    <xf numFmtId="168" fontId="14" fillId="3" borderId="15" xfId="0" applyNumberFormat="1" applyFont="1" applyFill="1" applyBorder="1"/>
    <xf numFmtId="168" fontId="14" fillId="3" borderId="12" xfId="0" applyNumberFormat="1" applyFont="1" applyFill="1" applyBorder="1"/>
    <xf numFmtId="168" fontId="15" fillId="3" borderId="12" xfId="0" applyNumberFormat="1" applyFont="1" applyFill="1" applyBorder="1"/>
    <xf numFmtId="0" fontId="15" fillId="0" borderId="12" xfId="0" applyFont="1" applyBorder="1" applyAlignment="1">
      <alignment wrapText="1"/>
    </xf>
    <xf numFmtId="166" fontId="15" fillId="3" borderId="12" xfId="0" applyNumberFormat="1" applyFont="1" applyFill="1" applyBorder="1"/>
    <xf numFmtId="171" fontId="9" fillId="0" borderId="0" xfId="0" applyNumberFormat="1" applyFont="1"/>
    <xf numFmtId="168" fontId="9" fillId="3" borderId="2" xfId="0" applyNumberFormat="1" applyFont="1" applyFill="1" applyBorder="1" applyAlignment="1">
      <alignment horizontal="center"/>
    </xf>
    <xf numFmtId="168" fontId="7" fillId="3" borderId="3" xfId="0" applyNumberFormat="1" applyFont="1" applyFill="1" applyBorder="1" applyAlignment="1">
      <alignment horizontal="center"/>
    </xf>
    <xf numFmtId="168" fontId="8" fillId="3" borderId="3" xfId="0" applyNumberFormat="1" applyFont="1" applyFill="1" applyBorder="1" applyAlignment="1">
      <alignment horizontal="center"/>
    </xf>
    <xf numFmtId="168" fontId="7" fillId="3" borderId="4" xfId="0" applyNumberFormat="1" applyFont="1" applyFill="1" applyBorder="1" applyAlignment="1">
      <alignment horizontal="center"/>
    </xf>
    <xf numFmtId="168" fontId="8" fillId="3" borderId="6" xfId="0" applyNumberFormat="1" applyFont="1" applyFill="1" applyBorder="1" applyAlignment="1">
      <alignment horizontal="center" vertical="center"/>
    </xf>
    <xf numFmtId="168" fontId="8" fillId="3" borderId="7" xfId="0" applyNumberFormat="1" applyFont="1" applyFill="1" applyBorder="1" applyAlignment="1">
      <alignment horizontal="center" vertical="center"/>
    </xf>
    <xf numFmtId="168" fontId="8" fillId="3" borderId="8" xfId="0" applyNumberFormat="1" applyFont="1" applyFill="1" applyBorder="1" applyAlignment="1">
      <alignment horizontal="center" vertical="center"/>
    </xf>
    <xf numFmtId="168" fontId="7" fillId="0" borderId="0" xfId="0" applyNumberFormat="1" applyFont="1" applyAlignment="1">
      <alignment horizontal="left"/>
    </xf>
    <xf numFmtId="168" fontId="9" fillId="3" borderId="2" xfId="0" applyNumberFormat="1" applyFont="1" applyFill="1" applyBorder="1" applyAlignment="1">
      <alignment vertical="top"/>
    </xf>
    <xf numFmtId="168" fontId="7" fillId="3" borderId="1" xfId="4" applyNumberFormat="1" applyFont="1" applyFill="1" applyBorder="1"/>
    <xf numFmtId="168" fontId="7" fillId="3" borderId="4" xfId="4" applyNumberFormat="1" applyFont="1" applyFill="1" applyBorder="1"/>
    <xf numFmtId="168" fontId="7" fillId="3" borderId="4" xfId="0" applyNumberFormat="1" applyFont="1" applyFill="1" applyBorder="1" applyAlignment="1">
      <alignment vertical="top"/>
    </xf>
    <xf numFmtId="172" fontId="9" fillId="3" borderId="2" xfId="1" applyNumberFormat="1" applyFont="1" applyFill="1" applyBorder="1" applyAlignment="1">
      <alignment vertical="top"/>
    </xf>
    <xf numFmtId="172" fontId="7" fillId="3" borderId="1" xfId="1" applyNumberFormat="1" applyFont="1" applyFill="1" applyBorder="1"/>
    <xf numFmtId="172" fontId="7" fillId="3" borderId="4" xfId="1" applyNumberFormat="1" applyFont="1" applyFill="1" applyBorder="1"/>
    <xf numFmtId="172" fontId="7" fillId="3" borderId="4" xfId="1" applyNumberFormat="1" applyFont="1" applyFill="1" applyBorder="1" applyAlignment="1">
      <alignment vertical="top"/>
    </xf>
    <xf numFmtId="168" fontId="9" fillId="3" borderId="11" xfId="0" applyNumberFormat="1" applyFont="1" applyFill="1" applyBorder="1" applyAlignment="1">
      <alignment vertical="top"/>
    </xf>
    <xf numFmtId="168" fontId="7" fillId="3" borderId="5" xfId="4" applyNumberFormat="1" applyFont="1" applyFill="1" applyBorder="1"/>
    <xf numFmtId="168" fontId="7" fillId="3" borderId="10" xfId="4" applyNumberFormat="1" applyFont="1" applyFill="1" applyBorder="1"/>
    <xf numFmtId="168" fontId="7" fillId="3" borderId="10" xfId="0" applyNumberFormat="1" applyFont="1" applyFill="1" applyBorder="1" applyAlignment="1">
      <alignment vertical="top"/>
    </xf>
    <xf numFmtId="172" fontId="9" fillId="3" borderId="11" xfId="1" applyNumberFormat="1" applyFont="1" applyFill="1" applyBorder="1" applyAlignment="1">
      <alignment vertical="top"/>
    </xf>
    <xf numFmtId="172" fontId="7" fillId="3" borderId="5" xfId="1" applyNumberFormat="1" applyFont="1" applyFill="1" applyBorder="1"/>
    <xf numFmtId="172" fontId="7" fillId="3" borderId="10" xfId="1" applyNumberFormat="1" applyFont="1" applyFill="1" applyBorder="1"/>
    <xf numFmtId="172" fontId="7" fillId="3" borderId="10" xfId="1" applyNumberFormat="1" applyFont="1" applyFill="1" applyBorder="1" applyAlignment="1">
      <alignment vertical="top"/>
    </xf>
    <xf numFmtId="168" fontId="11" fillId="3" borderId="11" xfId="0" applyNumberFormat="1" applyFont="1" applyFill="1" applyBorder="1" applyAlignment="1">
      <alignment vertical="top"/>
    </xf>
    <xf numFmtId="168" fontId="12" fillId="3" borderId="5" xfId="4" applyNumberFormat="1" applyFont="1" applyFill="1" applyBorder="1"/>
    <xf numFmtId="168" fontId="12" fillId="3" borderId="10" xfId="4" applyNumberFormat="1" applyFont="1" applyFill="1" applyBorder="1"/>
    <xf numFmtId="168" fontId="12" fillId="3" borderId="10" xfId="0" applyNumberFormat="1" applyFont="1" applyFill="1" applyBorder="1" applyAlignment="1">
      <alignment vertical="top"/>
    </xf>
    <xf numFmtId="172" fontId="11" fillId="3" borderId="11" xfId="1" applyNumberFormat="1" applyFont="1" applyFill="1" applyBorder="1" applyAlignment="1">
      <alignment vertical="top"/>
    </xf>
    <xf numFmtId="172" fontId="12" fillId="3" borderId="5" xfId="1" applyNumberFormat="1" applyFont="1" applyFill="1" applyBorder="1"/>
    <xf numFmtId="172" fontId="12" fillId="3" borderId="10" xfId="1" applyNumberFormat="1" applyFont="1" applyFill="1" applyBorder="1"/>
    <xf numFmtId="172" fontId="12" fillId="3" borderId="10" xfId="1" applyNumberFormat="1" applyFont="1" applyFill="1" applyBorder="1" applyAlignment="1">
      <alignment vertical="top"/>
    </xf>
    <xf numFmtId="168" fontId="12" fillId="3" borderId="9" xfId="4" applyNumberFormat="1" applyFont="1" applyFill="1" applyBorder="1"/>
    <xf numFmtId="168" fontId="12" fillId="3" borderId="8" xfId="4" applyNumberFormat="1" applyFont="1" applyFill="1" applyBorder="1"/>
    <xf numFmtId="172" fontId="12" fillId="3" borderId="9" xfId="1" applyNumberFormat="1" applyFont="1" applyFill="1" applyBorder="1"/>
    <xf numFmtId="172" fontId="12" fillId="3" borderId="8" xfId="1" applyNumberFormat="1" applyFont="1" applyFill="1" applyBorder="1"/>
    <xf numFmtId="168" fontId="9" fillId="3" borderId="12" xfId="0" applyNumberFormat="1" applyFont="1" applyFill="1" applyBorder="1" applyAlignment="1">
      <alignment vertical="top"/>
    </xf>
    <xf numFmtId="168" fontId="9" fillId="3" borderId="9" xfId="0" applyNumberFormat="1" applyFont="1" applyFill="1" applyBorder="1" applyAlignment="1">
      <alignment vertical="top"/>
    </xf>
    <xf numFmtId="172" fontId="9" fillId="3" borderId="12" xfId="1" applyNumberFormat="1" applyFont="1" applyFill="1" applyBorder="1" applyAlignment="1">
      <alignment vertical="top"/>
    </xf>
    <xf numFmtId="172" fontId="9" fillId="3" borderId="5" xfId="1" applyNumberFormat="1" applyFont="1" applyFill="1" applyBorder="1" applyAlignment="1">
      <alignment vertical="top"/>
    </xf>
    <xf numFmtId="172" fontId="9" fillId="3" borderId="9" xfId="1" applyNumberFormat="1" applyFont="1" applyFill="1" applyBorder="1" applyAlignment="1">
      <alignment vertical="top"/>
    </xf>
    <xf numFmtId="171" fontId="9" fillId="3" borderId="5" xfId="0" applyNumberFormat="1" applyFont="1" applyFill="1" applyBorder="1" applyAlignment="1">
      <alignment vertical="top"/>
    </xf>
    <xf numFmtId="168" fontId="9" fillId="3" borderId="4" xfId="0" applyNumberFormat="1" applyFont="1" applyFill="1" applyBorder="1" applyAlignment="1">
      <alignment vertical="top"/>
    </xf>
    <xf numFmtId="172" fontId="9" fillId="3" borderId="4" xfId="1" applyNumberFormat="1" applyFont="1" applyFill="1" applyBorder="1" applyAlignment="1">
      <alignment vertical="top"/>
    </xf>
    <xf numFmtId="168" fontId="9" fillId="3" borderId="10" xfId="0" applyNumberFormat="1" applyFont="1" applyFill="1" applyBorder="1" applyAlignment="1">
      <alignment vertical="top"/>
    </xf>
    <xf numFmtId="172" fontId="9" fillId="3" borderId="10" xfId="1" applyNumberFormat="1" applyFont="1" applyFill="1" applyBorder="1" applyAlignment="1">
      <alignment vertical="top"/>
    </xf>
    <xf numFmtId="168" fontId="9" fillId="3" borderId="6" xfId="0" applyNumberFormat="1" applyFont="1" applyFill="1" applyBorder="1" applyAlignment="1">
      <alignment vertical="top"/>
    </xf>
    <xf numFmtId="168" fontId="7" fillId="3" borderId="9" xfId="4" applyNumberFormat="1" applyFont="1" applyFill="1" applyBorder="1"/>
    <xf numFmtId="168" fontId="9" fillId="3" borderId="8" xfId="0" applyNumberFormat="1" applyFont="1" applyFill="1" applyBorder="1" applyAlignment="1">
      <alignment vertical="top"/>
    </xf>
    <xf numFmtId="172" fontId="9" fillId="3" borderId="6" xfId="1" applyNumberFormat="1" applyFont="1" applyFill="1" applyBorder="1" applyAlignment="1">
      <alignment vertical="top"/>
    </xf>
    <xf numFmtId="172" fontId="7" fillId="3" borderId="9" xfId="1" applyNumberFormat="1" applyFont="1" applyFill="1" applyBorder="1"/>
    <xf numFmtId="172" fontId="9" fillId="3" borderId="8" xfId="1" applyNumberFormat="1" applyFont="1" applyFill="1" applyBorder="1" applyAlignment="1">
      <alignment vertical="top"/>
    </xf>
    <xf numFmtId="172" fontId="9" fillId="3" borderId="1" xfId="1" applyNumberFormat="1" applyFont="1" applyFill="1" applyBorder="1" applyAlignment="1">
      <alignment vertical="top"/>
    </xf>
    <xf numFmtId="168" fontId="7" fillId="3" borderId="5" xfId="0" applyNumberFormat="1" applyFont="1" applyFill="1" applyBorder="1" applyAlignment="1">
      <alignment vertical="top"/>
    </xf>
    <xf numFmtId="172" fontId="7" fillId="3" borderId="5" xfId="1" applyNumberFormat="1" applyFont="1" applyFill="1" applyBorder="1" applyAlignment="1">
      <alignment vertical="top"/>
    </xf>
    <xf numFmtId="168" fontId="12" fillId="3" borderId="5" xfId="0" applyNumberFormat="1" applyFont="1" applyFill="1" applyBorder="1" applyAlignment="1">
      <alignment vertical="top"/>
    </xf>
    <xf numFmtId="172" fontId="12" fillId="3" borderId="5" xfId="1" applyNumberFormat="1" applyFont="1" applyFill="1" applyBorder="1" applyAlignment="1">
      <alignment vertical="top"/>
    </xf>
    <xf numFmtId="168" fontId="9" fillId="3" borderId="12" xfId="0" applyNumberFormat="1" applyFont="1" applyFill="1" applyBorder="1" applyAlignment="1">
      <alignment vertical="top" wrapText="1"/>
    </xf>
    <xf numFmtId="168" fontId="9" fillId="3" borderId="1" xfId="0" applyNumberFormat="1" applyFont="1" applyFill="1" applyBorder="1" applyAlignment="1">
      <alignment vertical="top" wrapText="1"/>
    </xf>
    <xf numFmtId="168" fontId="9" fillId="3" borderId="9" xfId="0" applyNumberFormat="1" applyFont="1" applyFill="1" applyBorder="1" applyAlignment="1">
      <alignment vertical="top" wrapText="1"/>
    </xf>
    <xf numFmtId="172" fontId="9" fillId="3" borderId="12" xfId="1" applyNumberFormat="1" applyFont="1" applyFill="1" applyBorder="1" applyAlignment="1">
      <alignment vertical="top" wrapText="1"/>
    </xf>
    <xf numFmtId="172" fontId="9" fillId="3" borderId="1" xfId="1" applyNumberFormat="1" applyFont="1" applyFill="1" applyBorder="1" applyAlignment="1">
      <alignment vertical="top" wrapText="1"/>
    </xf>
    <xf numFmtId="172" fontId="9" fillId="3" borderId="9" xfId="1" applyNumberFormat="1" applyFont="1" applyFill="1" applyBorder="1" applyAlignment="1">
      <alignment vertical="top" wrapText="1"/>
    </xf>
    <xf numFmtId="168" fontId="9" fillId="3" borderId="11" xfId="5" applyNumberFormat="1" applyFont="1" applyFill="1" applyBorder="1" applyAlignment="1">
      <alignment vertical="top"/>
    </xf>
    <xf numFmtId="168" fontId="7" fillId="3" borderId="5" xfId="5" applyNumberFormat="1" applyFill="1" applyBorder="1" applyAlignment="1">
      <alignment vertical="top"/>
    </xf>
    <xf numFmtId="168" fontId="16" fillId="0" borderId="0" xfId="0" applyNumberFormat="1" applyFont="1" applyAlignment="1">
      <alignment horizontal="left"/>
    </xf>
    <xf numFmtId="168" fontId="14" fillId="3" borderId="11" xfId="5" applyNumberFormat="1" applyFont="1" applyFill="1" applyBorder="1" applyAlignment="1">
      <alignment vertical="top"/>
    </xf>
    <xf numFmtId="168" fontId="16" fillId="3" borderId="5" xfId="4" applyNumberFormat="1" applyFont="1" applyFill="1" applyBorder="1"/>
    <xf numFmtId="168" fontId="16" fillId="3" borderId="5" xfId="5" applyNumberFormat="1" applyFont="1" applyFill="1" applyBorder="1" applyAlignment="1">
      <alignment vertical="top"/>
    </xf>
    <xf numFmtId="172" fontId="14" fillId="3" borderId="11" xfId="1" applyNumberFormat="1" applyFont="1" applyFill="1" applyBorder="1" applyAlignment="1">
      <alignment vertical="top"/>
    </xf>
    <xf numFmtId="172" fontId="16" fillId="3" borderId="5" xfId="1" applyNumberFormat="1" applyFont="1" applyFill="1" applyBorder="1"/>
    <xf numFmtId="172" fontId="16" fillId="3" borderId="5" xfId="1" applyNumberFormat="1" applyFont="1" applyFill="1" applyBorder="1" applyAlignment="1">
      <alignment vertical="top"/>
    </xf>
    <xf numFmtId="168" fontId="8" fillId="3" borderId="1" xfId="0" applyNumberFormat="1" applyFont="1" applyFill="1" applyBorder="1"/>
    <xf numFmtId="172" fontId="8" fillId="3" borderId="1" xfId="1" applyNumberFormat="1" applyFont="1" applyFill="1" applyBorder="1"/>
    <xf numFmtId="172" fontId="9" fillId="3" borderId="14" xfId="1" applyNumberFormat="1" applyFont="1" applyFill="1" applyBorder="1"/>
    <xf numFmtId="172" fontId="8" fillId="3" borderId="14" xfId="1" applyNumberFormat="1" applyFont="1" applyFill="1" applyBorder="1"/>
    <xf numFmtId="172" fontId="9" fillId="3" borderId="15" xfId="1" applyNumberFormat="1" applyFont="1" applyFill="1" applyBorder="1"/>
    <xf numFmtId="168" fontId="7" fillId="3" borderId="11" xfId="4" applyNumberFormat="1" applyFont="1" applyFill="1" applyBorder="1"/>
    <xf numFmtId="168" fontId="7" fillId="3" borderId="5" xfId="4" applyNumberFormat="1" applyFont="1" applyFill="1" applyBorder="1" applyAlignment="1">
      <alignment vertical="top"/>
    </xf>
    <xf numFmtId="172" fontId="7" fillId="3" borderId="11" xfId="1" applyNumberFormat="1" applyFont="1" applyFill="1" applyBorder="1"/>
    <xf numFmtId="168" fontId="7" fillId="3" borderId="6" xfId="4" applyNumberFormat="1" applyFont="1" applyFill="1" applyBorder="1"/>
    <xf numFmtId="168" fontId="7" fillId="3" borderId="9" xfId="4" applyNumberFormat="1" applyFont="1" applyFill="1" applyBorder="1" applyAlignment="1">
      <alignment vertical="top"/>
    </xf>
    <xf numFmtId="172" fontId="7" fillId="3" borderId="6" xfId="1" applyNumberFormat="1" applyFont="1" applyFill="1" applyBorder="1"/>
    <xf numFmtId="172" fontId="7" fillId="3" borderId="9" xfId="1" applyNumberFormat="1" applyFont="1" applyFill="1" applyBorder="1" applyAlignment="1">
      <alignment vertical="top"/>
    </xf>
    <xf numFmtId="172" fontId="9" fillId="3" borderId="9" xfId="1" applyNumberFormat="1" applyFont="1" applyFill="1" applyBorder="1"/>
    <xf numFmtId="172" fontId="8" fillId="3" borderId="12" xfId="1" applyNumberFormat="1" applyFont="1" applyFill="1" applyBorder="1"/>
    <xf numFmtId="172" fontId="9" fillId="3" borderId="12" xfId="1" applyNumberFormat="1" applyFont="1" applyFill="1" applyBorder="1"/>
    <xf numFmtId="0" fontId="8" fillId="3" borderId="11" xfId="0" applyFont="1" applyFill="1" applyBorder="1" applyAlignment="1">
      <alignment horizontal="center"/>
    </xf>
    <xf numFmtId="168" fontId="17" fillId="0" borderId="0" xfId="0" applyNumberFormat="1" applyFont="1" applyAlignment="1">
      <alignment horizontal="right"/>
    </xf>
    <xf numFmtId="168" fontId="9" fillId="3" borderId="2" xfId="0" applyNumberFormat="1" applyFont="1" applyFill="1" applyBorder="1" applyAlignment="1">
      <alignment horizontal="centerContinuous"/>
    </xf>
    <xf numFmtId="168" fontId="7" fillId="3" borderId="3" xfId="0" applyNumberFormat="1" applyFont="1" applyFill="1" applyBorder="1" applyAlignment="1">
      <alignment horizontal="centerContinuous"/>
    </xf>
    <xf numFmtId="168" fontId="8" fillId="3" borderId="3" xfId="0" applyNumberFormat="1" applyFont="1" applyFill="1" applyBorder="1" applyAlignment="1">
      <alignment horizontal="centerContinuous"/>
    </xf>
    <xf numFmtId="168" fontId="7" fillId="3" borderId="4" xfId="0" applyNumberFormat="1" applyFont="1" applyFill="1" applyBorder="1" applyAlignment="1">
      <alignment horizontal="centerContinuous"/>
    </xf>
    <xf numFmtId="0" fontId="8" fillId="3" borderId="9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168" fontId="8" fillId="3" borderId="8" xfId="0" applyNumberFormat="1" applyFont="1" applyFill="1" applyBorder="1" applyAlignment="1">
      <alignment horizontal="center" wrapText="1"/>
    </xf>
    <xf numFmtId="168" fontId="7" fillId="3" borderId="1" xfId="0" applyNumberFormat="1" applyFont="1" applyFill="1" applyBorder="1" applyAlignment="1">
      <alignment vertical="top"/>
    </xf>
    <xf numFmtId="168" fontId="11" fillId="3" borderId="5" xfId="0" applyNumberFormat="1" applyFont="1" applyFill="1" applyBorder="1" applyAlignment="1">
      <alignment vertical="top"/>
    </xf>
    <xf numFmtId="168" fontId="9" fillId="3" borderId="0" xfId="0" applyNumberFormat="1" applyFont="1" applyFill="1" applyAlignment="1">
      <alignment vertical="top"/>
    </xf>
    <xf numFmtId="168" fontId="7" fillId="3" borderId="0" xfId="0" applyNumberFormat="1" applyFont="1" applyFill="1" applyAlignment="1">
      <alignment vertical="top"/>
    </xf>
    <xf numFmtId="168" fontId="9" fillId="3" borderId="0" xfId="5" applyNumberFormat="1" applyFont="1" applyFill="1" applyAlignment="1">
      <alignment vertical="top"/>
    </xf>
    <xf numFmtId="168" fontId="7" fillId="3" borderId="0" xfId="5" applyNumberFormat="1" applyFill="1" applyAlignment="1">
      <alignment vertical="top"/>
    </xf>
    <xf numFmtId="0" fontId="8" fillId="0" borderId="12" xfId="0" applyFont="1" applyBorder="1"/>
    <xf numFmtId="173" fontId="8" fillId="3" borderId="12" xfId="0" applyNumberFormat="1" applyFont="1" applyFill="1" applyBorder="1"/>
    <xf numFmtId="174" fontId="7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2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wrapText="1"/>
    </xf>
    <xf numFmtId="0" fontId="7" fillId="0" borderId="11" xfId="0" applyFont="1" applyBorder="1"/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wrapText="1"/>
    </xf>
    <xf numFmtId="0" fontId="8" fillId="0" borderId="11" xfId="0" applyFont="1" applyBorder="1"/>
    <xf numFmtId="0" fontId="8" fillId="5" borderId="6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 wrapText="1"/>
    </xf>
    <xf numFmtId="0" fontId="18" fillId="0" borderId="5" xfId="0" applyFont="1" applyBorder="1"/>
    <xf numFmtId="0" fontId="18" fillId="0" borderId="15" xfId="0" applyFont="1" applyBorder="1" applyAlignment="1">
      <alignment horizontal="center"/>
    </xf>
    <xf numFmtId="166" fontId="7" fillId="6" borderId="15" xfId="0" applyNumberFormat="1" applyFont="1" applyFill="1" applyBorder="1" applyAlignment="1">
      <alignment vertical="top"/>
    </xf>
    <xf numFmtId="166" fontId="7" fillId="6" borderId="12" xfId="0" applyNumberFormat="1" applyFont="1" applyFill="1" applyBorder="1" applyAlignment="1">
      <alignment vertical="top"/>
    </xf>
    <xf numFmtId="166" fontId="9" fillId="6" borderId="12" xfId="0" applyNumberFormat="1" applyFont="1" applyFill="1" applyBorder="1" applyAlignment="1">
      <alignment vertical="top"/>
    </xf>
    <xf numFmtId="166" fontId="7" fillId="6" borderId="1" xfId="0" applyNumberFormat="1" applyFont="1" applyFill="1" applyBorder="1" applyAlignment="1">
      <alignment vertical="top"/>
    </xf>
    <xf numFmtId="166" fontId="7" fillId="0" borderId="12" xfId="0" applyNumberFormat="1" applyFont="1" applyBorder="1" applyAlignment="1">
      <alignment vertical="top"/>
    </xf>
    <xf numFmtId="175" fontId="9" fillId="5" borderId="12" xfId="0" applyNumberFormat="1" applyFont="1" applyFill="1" applyBorder="1" applyAlignment="1">
      <alignment horizontal="right"/>
    </xf>
    <xf numFmtId="0" fontId="19" fillId="0" borderId="5" xfId="0" applyFont="1" applyBorder="1" applyAlignment="1">
      <alignment vertical="center"/>
    </xf>
    <xf numFmtId="1" fontId="20" fillId="0" borderId="1" xfId="6" applyNumberFormat="1" applyFont="1" applyBorder="1" applyAlignment="1">
      <alignment horizontal="center" vertical="center"/>
    </xf>
    <xf numFmtId="175" fontId="21" fillId="5" borderId="4" xfId="0" applyNumberFormat="1" applyFont="1" applyFill="1" applyBorder="1" applyAlignment="1">
      <alignment horizontal="right" vertical="center"/>
    </xf>
    <xf numFmtId="175" fontId="21" fillId="5" borderId="1" xfId="0" applyNumberFormat="1" applyFont="1" applyFill="1" applyBorder="1" applyAlignment="1">
      <alignment horizontal="right" vertical="center"/>
    </xf>
    <xf numFmtId="175" fontId="7" fillId="4" borderId="1" xfId="4" applyNumberFormat="1" applyFont="1" applyFill="1" applyBorder="1"/>
    <xf numFmtId="175" fontId="22" fillId="5" borderId="1" xfId="0" applyNumberFormat="1" applyFont="1" applyFill="1" applyBorder="1" applyAlignment="1">
      <alignment horizontal="right" vertical="center"/>
    </xf>
    <xf numFmtId="1" fontId="20" fillId="0" borderId="5" xfId="6" applyNumberFormat="1" applyFont="1" applyBorder="1" applyAlignment="1">
      <alignment horizontal="center" vertical="center"/>
    </xf>
    <xf numFmtId="175" fontId="21" fillId="5" borderId="10" xfId="0" applyNumberFormat="1" applyFont="1" applyFill="1" applyBorder="1" applyAlignment="1">
      <alignment horizontal="right" vertical="center"/>
    </xf>
    <xf numFmtId="175" fontId="21" fillId="5" borderId="5" xfId="0" applyNumberFormat="1" applyFont="1" applyFill="1" applyBorder="1" applyAlignment="1">
      <alignment horizontal="right" vertical="center"/>
    </xf>
    <xf numFmtId="175" fontId="7" fillId="4" borderId="5" xfId="4" applyNumberFormat="1" applyFont="1" applyFill="1" applyBorder="1"/>
    <xf numFmtId="175" fontId="22" fillId="5" borderId="5" xfId="0" applyNumberFormat="1" applyFont="1" applyFill="1" applyBorder="1" applyAlignment="1">
      <alignment horizontal="right" vertical="center"/>
    </xf>
    <xf numFmtId="1" fontId="20" fillId="0" borderId="9" xfId="6" applyNumberFormat="1" applyFont="1" applyBorder="1" applyAlignment="1">
      <alignment horizontal="center" vertical="center"/>
    </xf>
    <xf numFmtId="175" fontId="21" fillId="5" borderId="9" xfId="0" applyNumberFormat="1" applyFont="1" applyFill="1" applyBorder="1" applyAlignment="1">
      <alignment horizontal="right" vertical="center"/>
    </xf>
    <xf numFmtId="175" fontId="7" fillId="5" borderId="9" xfId="4" applyNumberFormat="1" applyFont="1" applyFill="1" applyBorder="1"/>
    <xf numFmtId="175" fontId="7" fillId="4" borderId="9" xfId="4" applyNumberFormat="1" applyFont="1" applyFill="1" applyBorder="1"/>
    <xf numFmtId="175" fontId="22" fillId="5" borderId="9" xfId="0" applyNumberFormat="1" applyFont="1" applyFill="1" applyBorder="1" applyAlignment="1">
      <alignment horizontal="right" vertical="center"/>
    </xf>
    <xf numFmtId="0" fontId="19" fillId="0" borderId="11" xfId="0" applyFont="1" applyBorder="1" applyAlignment="1">
      <alignment vertical="center"/>
    </xf>
    <xf numFmtId="175" fontId="21" fillId="0" borderId="1" xfId="0" applyNumberFormat="1" applyFont="1" applyBorder="1" applyAlignment="1">
      <alignment horizontal="right" vertical="center"/>
    </xf>
    <xf numFmtId="175" fontId="21" fillId="6" borderId="1" xfId="0" applyNumberFormat="1" applyFont="1" applyFill="1" applyBorder="1" applyAlignment="1">
      <alignment horizontal="right" vertical="center"/>
    </xf>
    <xf numFmtId="175" fontId="21" fillId="6" borderId="5" xfId="0" applyNumberFormat="1" applyFont="1" applyFill="1" applyBorder="1" applyAlignment="1">
      <alignment horizontal="right" vertical="center"/>
    </xf>
    <xf numFmtId="175" fontId="21" fillId="0" borderId="1" xfId="7" applyNumberFormat="1" applyFont="1" applyBorder="1" applyAlignment="1">
      <alignment horizontal="right" vertical="center"/>
    </xf>
    <xf numFmtId="0" fontId="18" fillId="0" borderId="11" xfId="0" applyFont="1" applyBorder="1" applyAlignment="1">
      <alignment vertical="center"/>
    </xf>
    <xf numFmtId="166" fontId="21" fillId="0" borderId="9" xfId="0" applyNumberFormat="1" applyFont="1" applyBorder="1" applyAlignment="1">
      <alignment horizontal="right" vertical="center"/>
    </xf>
    <xf numFmtId="166" fontId="21" fillId="6" borderId="9" xfId="0" applyNumberFormat="1" applyFont="1" applyFill="1" applyBorder="1" applyAlignment="1">
      <alignment horizontal="right" vertical="center"/>
    </xf>
    <xf numFmtId="166" fontId="21" fillId="6" borderId="5" xfId="0" applyNumberFormat="1" applyFont="1" applyFill="1" applyBorder="1" applyAlignment="1">
      <alignment horizontal="right" vertical="center"/>
    </xf>
    <xf numFmtId="175" fontId="21" fillId="0" borderId="9" xfId="7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167" fontId="24" fillId="5" borderId="4" xfId="8" applyFont="1" applyFill="1" applyBorder="1" applyAlignment="1">
      <alignment horizontal="right" vertical="center"/>
    </xf>
    <xf numFmtId="167" fontId="24" fillId="5" borderId="1" xfId="8" applyFont="1" applyFill="1" applyBorder="1" applyAlignment="1">
      <alignment horizontal="right" vertical="center"/>
    </xf>
    <xf numFmtId="175" fontId="25" fillId="5" borderId="1" xfId="0" applyNumberFormat="1" applyFont="1" applyFill="1" applyBorder="1" applyAlignment="1">
      <alignment horizontal="right" vertical="center"/>
    </xf>
    <xf numFmtId="175" fontId="25" fillId="5" borderId="5" xfId="0" applyNumberFormat="1" applyFont="1" applyFill="1" applyBorder="1" applyAlignment="1">
      <alignment horizontal="right" vertical="center"/>
    </xf>
    <xf numFmtId="175" fontId="21" fillId="5" borderId="8" xfId="0" applyNumberFormat="1" applyFont="1" applyFill="1" applyBorder="1" applyAlignment="1">
      <alignment horizontal="right" vertical="center"/>
    </xf>
    <xf numFmtId="0" fontId="10" fillId="0" borderId="0" xfId="0" applyFont="1"/>
    <xf numFmtId="1" fontId="20" fillId="0" borderId="12" xfId="6" applyNumberFormat="1" applyFont="1" applyBorder="1" applyAlignment="1">
      <alignment horizontal="center" vertical="center"/>
    </xf>
    <xf numFmtId="175" fontId="21" fillId="5" borderId="12" xfId="0" applyNumberFormat="1" applyFont="1" applyFill="1" applyBorder="1" applyAlignment="1">
      <alignment horizontal="right" vertical="center"/>
    </xf>
    <xf numFmtId="175" fontId="7" fillId="4" borderId="12" xfId="4" applyNumberFormat="1" applyFont="1" applyFill="1" applyBorder="1"/>
    <xf numFmtId="175" fontId="22" fillId="5" borderId="12" xfId="0" applyNumberFormat="1" applyFont="1" applyFill="1" applyBorder="1" applyAlignment="1">
      <alignment horizontal="right" vertical="center"/>
    </xf>
    <xf numFmtId="0" fontId="18" fillId="0" borderId="5" xfId="0" applyFont="1" applyBorder="1" applyAlignment="1">
      <alignment vertical="center"/>
    </xf>
    <xf numFmtId="176" fontId="24" fillId="5" borderId="4" xfId="4" applyNumberFormat="1" applyFont="1" applyFill="1" applyBorder="1" applyAlignment="1">
      <alignment horizontal="right" vertical="center"/>
    </xf>
    <xf numFmtId="176" fontId="24" fillId="5" borderId="1" xfId="4" applyNumberFormat="1" applyFont="1" applyFill="1" applyBorder="1" applyAlignment="1">
      <alignment horizontal="right" vertical="center"/>
    </xf>
    <xf numFmtId="176" fontId="7" fillId="4" borderId="1" xfId="4" applyNumberFormat="1" applyFont="1" applyFill="1" applyBorder="1"/>
    <xf numFmtId="176" fontId="22" fillId="5" borderId="1" xfId="4" applyNumberFormat="1" applyFont="1" applyFill="1" applyBorder="1" applyAlignment="1">
      <alignment horizontal="right" vertical="center"/>
    </xf>
    <xf numFmtId="0" fontId="19" fillId="0" borderId="5" xfId="0" applyFont="1" applyBorder="1" applyAlignment="1">
      <alignment horizontal="center" vertical="center"/>
    </xf>
    <xf numFmtId="176" fontId="24" fillId="5" borderId="10" xfId="4" applyNumberFormat="1" applyFont="1" applyFill="1" applyBorder="1" applyAlignment="1">
      <alignment horizontal="right" vertical="center"/>
    </xf>
    <xf numFmtId="176" fontId="24" fillId="5" borderId="5" xfId="4" applyNumberFormat="1" applyFont="1" applyFill="1" applyBorder="1" applyAlignment="1">
      <alignment horizontal="right" vertical="center"/>
    </xf>
    <xf numFmtId="176" fontId="7" fillId="4" borderId="5" xfId="4" applyNumberFormat="1" applyFont="1" applyFill="1" applyBorder="1"/>
    <xf numFmtId="176" fontId="22" fillId="5" borderId="5" xfId="4" applyNumberFormat="1" applyFont="1" applyFill="1" applyBorder="1" applyAlignment="1">
      <alignment horizontal="right" vertical="center"/>
    </xf>
    <xf numFmtId="0" fontId="19" fillId="0" borderId="9" xfId="0" applyFont="1" applyBorder="1" applyAlignment="1">
      <alignment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/>
    </xf>
    <xf numFmtId="0" fontId="8" fillId="5" borderId="2" xfId="0" applyFont="1" applyFill="1" applyBorder="1" applyAlignment="1">
      <alignment wrapText="1"/>
    </xf>
    <xf numFmtId="0" fontId="8" fillId="5" borderId="6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vertical="center"/>
    </xf>
    <xf numFmtId="0" fontId="8" fillId="5" borderId="6" xfId="0" applyFont="1" applyFill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 wrapText="1"/>
    </xf>
    <xf numFmtId="166" fontId="7" fillId="5" borderId="15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77" fontId="9" fillId="5" borderId="12" xfId="0" applyNumberFormat="1" applyFont="1" applyFill="1" applyBorder="1" applyAlignment="1">
      <alignment vertical="top"/>
    </xf>
    <xf numFmtId="177" fontId="7" fillId="5" borderId="12" xfId="0" applyNumberFormat="1" applyFont="1" applyFill="1" applyBorder="1" applyAlignment="1">
      <alignment vertical="top"/>
    </xf>
    <xf numFmtId="177" fontId="9" fillId="5" borderId="12" xfId="0" applyNumberFormat="1" applyFont="1" applyFill="1" applyBorder="1" applyAlignment="1">
      <alignment horizontal="right"/>
    </xf>
    <xf numFmtId="1" fontId="20" fillId="0" borderId="15" xfId="6" applyNumberFormat="1" applyFont="1" applyBorder="1" applyAlignment="1">
      <alignment horizontal="center" vertical="center"/>
    </xf>
    <xf numFmtId="175" fontId="21" fillId="5" borderId="15" xfId="0" applyNumberFormat="1" applyFont="1" applyFill="1" applyBorder="1" applyAlignment="1">
      <alignment horizontal="right" vertical="center"/>
    </xf>
    <xf numFmtId="177" fontId="22" fillId="5" borderId="12" xfId="0" applyNumberFormat="1" applyFont="1" applyFill="1" applyBorder="1" applyAlignment="1">
      <alignment horizontal="right" vertical="center"/>
    </xf>
    <xf numFmtId="177" fontId="21" fillId="5" borderId="12" xfId="0" applyNumberFormat="1" applyFont="1" applyFill="1" applyBorder="1" applyAlignment="1">
      <alignment horizontal="right" vertical="center"/>
    </xf>
    <xf numFmtId="9" fontId="21" fillId="5" borderId="12" xfId="9" applyFont="1" applyFill="1" applyBorder="1" applyAlignment="1">
      <alignment horizontal="right" vertical="center"/>
    </xf>
    <xf numFmtId="9" fontId="22" fillId="5" borderId="12" xfId="9" applyFont="1" applyFill="1" applyBorder="1" applyAlignment="1">
      <alignment horizontal="right" vertical="center"/>
    </xf>
    <xf numFmtId="175" fontId="22" fillId="0" borderId="1" xfId="0" applyNumberFormat="1" applyFont="1" applyBorder="1" applyAlignment="1">
      <alignment horizontal="right" vertical="center"/>
    </xf>
    <xf numFmtId="177" fontId="22" fillId="0" borderId="1" xfId="0" applyNumberFormat="1" applyFont="1" applyBorder="1" applyAlignment="1">
      <alignment horizontal="right" vertical="center"/>
    </xf>
    <xf numFmtId="177" fontId="21" fillId="0" borderId="1" xfId="0" applyNumberFormat="1" applyFont="1" applyBorder="1" applyAlignment="1">
      <alignment horizontal="right" vertical="center"/>
    </xf>
    <xf numFmtId="9" fontId="21" fillId="0" borderId="1" xfId="9" applyFont="1" applyBorder="1" applyAlignment="1">
      <alignment horizontal="right" vertical="center"/>
    </xf>
    <xf numFmtId="9" fontId="22" fillId="0" borderId="1" xfId="9" applyFont="1" applyBorder="1" applyAlignment="1">
      <alignment horizontal="right" vertical="center"/>
    </xf>
    <xf numFmtId="175" fontId="22" fillId="0" borderId="9" xfId="0" applyNumberFormat="1" applyFont="1" applyBorder="1" applyAlignment="1">
      <alignment horizontal="right" vertical="center"/>
    </xf>
    <xf numFmtId="177" fontId="22" fillId="0" borderId="9" xfId="0" applyNumberFormat="1" applyFont="1" applyBorder="1" applyAlignment="1">
      <alignment horizontal="right" vertical="center"/>
    </xf>
    <xf numFmtId="177" fontId="21" fillId="0" borderId="9" xfId="0" applyNumberFormat="1" applyFont="1" applyBorder="1" applyAlignment="1">
      <alignment horizontal="right" vertical="center"/>
    </xf>
    <xf numFmtId="9" fontId="21" fillId="0" borderId="9" xfId="9" applyFont="1" applyBorder="1" applyAlignment="1">
      <alignment horizontal="right" vertical="center"/>
    </xf>
    <xf numFmtId="9" fontId="22" fillId="0" borderId="9" xfId="9" applyFont="1" applyBorder="1" applyAlignment="1">
      <alignment horizontal="right" vertical="center"/>
    </xf>
    <xf numFmtId="0" fontId="19" fillId="0" borderId="15" xfId="0" applyFont="1" applyBorder="1" applyAlignment="1">
      <alignment horizontal="center" vertical="center"/>
    </xf>
    <xf numFmtId="167" fontId="24" fillId="5" borderId="15" xfId="8" applyFont="1" applyFill="1" applyBorder="1" applyAlignment="1">
      <alignment horizontal="right" vertical="center"/>
    </xf>
    <xf numFmtId="175" fontId="25" fillId="5" borderId="12" xfId="0" applyNumberFormat="1" applyFont="1" applyFill="1" applyBorder="1" applyAlignment="1">
      <alignment horizontal="right" vertical="center"/>
    </xf>
    <xf numFmtId="177" fontId="25" fillId="5" borderId="12" xfId="8" applyNumberFormat="1" applyFont="1" applyFill="1" applyBorder="1" applyAlignment="1">
      <alignment horizontal="right" vertical="center"/>
    </xf>
    <xf numFmtId="177" fontId="24" fillId="5" borderId="12" xfId="8" applyNumberFormat="1" applyFont="1" applyFill="1" applyBorder="1" applyAlignment="1">
      <alignment horizontal="right" vertical="center"/>
    </xf>
    <xf numFmtId="177" fontId="25" fillId="5" borderId="12" xfId="0" applyNumberFormat="1" applyFont="1" applyFill="1" applyBorder="1" applyAlignment="1">
      <alignment horizontal="right" vertical="center"/>
    </xf>
    <xf numFmtId="9" fontId="24" fillId="5" borderId="12" xfId="9" applyFont="1" applyFill="1" applyBorder="1" applyAlignment="1">
      <alignment horizontal="right" vertical="center"/>
    </xf>
    <xf numFmtId="9" fontId="25" fillId="5" borderId="12" xfId="9" applyFont="1" applyFill="1" applyBorder="1" applyAlignment="1">
      <alignment horizontal="right" vertical="center"/>
    </xf>
    <xf numFmtId="175" fontId="21" fillId="5" borderId="16" xfId="0" applyNumberFormat="1" applyFont="1" applyFill="1" applyBorder="1" applyAlignment="1">
      <alignment horizontal="right" vertical="center"/>
    </xf>
    <xf numFmtId="175" fontId="22" fillId="5" borderId="16" xfId="0" applyNumberFormat="1" applyFont="1" applyFill="1" applyBorder="1" applyAlignment="1">
      <alignment horizontal="right" vertical="center"/>
    </xf>
    <xf numFmtId="177" fontId="22" fillId="5" borderId="16" xfId="0" applyNumberFormat="1" applyFont="1" applyFill="1" applyBorder="1" applyAlignment="1">
      <alignment horizontal="right" vertical="center"/>
    </xf>
    <xf numFmtId="177" fontId="21" fillId="5" borderId="16" xfId="0" applyNumberFormat="1" applyFont="1" applyFill="1" applyBorder="1" applyAlignment="1">
      <alignment horizontal="right" vertical="center"/>
    </xf>
    <xf numFmtId="9" fontId="21" fillId="5" borderId="16" xfId="9" applyFont="1" applyFill="1" applyBorder="1" applyAlignment="1">
      <alignment horizontal="right" vertical="center"/>
    </xf>
    <xf numFmtId="9" fontId="22" fillId="5" borderId="16" xfId="9" applyFont="1" applyFill="1" applyBorder="1" applyAlignment="1">
      <alignment horizontal="right" vertical="center"/>
    </xf>
    <xf numFmtId="1" fontId="20" fillId="0" borderId="8" xfId="6" applyNumberFormat="1" applyFont="1" applyBorder="1" applyAlignment="1">
      <alignment horizontal="center" vertical="center"/>
    </xf>
    <xf numFmtId="177" fontId="22" fillId="5" borderId="9" xfId="0" applyNumberFormat="1" applyFont="1" applyFill="1" applyBorder="1" applyAlignment="1">
      <alignment horizontal="right" vertical="center"/>
    </xf>
    <xf numFmtId="177" fontId="21" fillId="5" borderId="9" xfId="0" applyNumberFormat="1" applyFont="1" applyFill="1" applyBorder="1" applyAlignment="1">
      <alignment horizontal="right" vertical="center"/>
    </xf>
    <xf numFmtId="9" fontId="21" fillId="5" borderId="9" xfId="9" applyFont="1" applyFill="1" applyBorder="1" applyAlignment="1">
      <alignment horizontal="right" vertical="center"/>
    </xf>
    <xf numFmtId="9" fontId="22" fillId="5" borderId="9" xfId="9" applyFont="1" applyFill="1" applyBorder="1" applyAlignment="1">
      <alignment horizontal="right" vertical="center"/>
    </xf>
    <xf numFmtId="175" fontId="7" fillId="0" borderId="0" xfId="0" applyNumberFormat="1" applyFont="1"/>
    <xf numFmtId="0" fontId="7" fillId="5" borderId="2" xfId="0" applyFont="1" applyFill="1" applyBorder="1" applyAlignment="1">
      <alignment horizontal="centerContinuous"/>
    </xf>
    <xf numFmtId="0" fontId="7" fillId="5" borderId="3" xfId="0" applyFont="1" applyFill="1" applyBorder="1" applyAlignment="1">
      <alignment horizontal="centerContinuous"/>
    </xf>
    <xf numFmtId="0" fontId="8" fillId="5" borderId="3" xfId="0" applyFont="1" applyFill="1" applyBorder="1" applyAlignment="1">
      <alignment horizontal="centerContinuous"/>
    </xf>
    <xf numFmtId="0" fontId="7" fillId="5" borderId="4" xfId="0" applyFont="1" applyFill="1" applyBorder="1" applyAlignment="1">
      <alignment horizontal="centerContinuous"/>
    </xf>
    <xf numFmtId="166" fontId="9" fillId="5" borderId="12" xfId="0" applyNumberFormat="1" applyFont="1" applyFill="1" applyBorder="1" applyAlignment="1">
      <alignment vertical="top"/>
    </xf>
    <xf numFmtId="178" fontId="21" fillId="5" borderId="15" xfId="0" applyNumberFormat="1" applyFont="1" applyFill="1" applyBorder="1" applyAlignment="1">
      <alignment horizontal="right" vertical="center"/>
    </xf>
    <xf numFmtId="178" fontId="21" fillId="5" borderId="12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172" fontId="21" fillId="5" borderId="15" xfId="9" applyNumberFormat="1" applyFont="1" applyFill="1" applyBorder="1" applyAlignment="1">
      <alignment horizontal="right" vertical="center"/>
    </xf>
    <xf numFmtId="172" fontId="21" fillId="5" borderId="12" xfId="9" applyNumberFormat="1" applyFont="1" applyFill="1" applyBorder="1" applyAlignment="1">
      <alignment horizontal="right" vertical="center"/>
    </xf>
    <xf numFmtId="172" fontId="22" fillId="5" borderId="12" xfId="9" applyNumberFormat="1" applyFont="1" applyFill="1" applyBorder="1" applyAlignment="1">
      <alignment horizontal="right" vertical="center"/>
    </xf>
    <xf numFmtId="175" fontId="22" fillId="5" borderId="15" xfId="0" applyNumberFormat="1" applyFont="1" applyFill="1" applyBorder="1" applyAlignment="1">
      <alignment horizontal="right" vertical="center"/>
    </xf>
    <xf numFmtId="178" fontId="21" fillId="0" borderId="1" xfId="0" applyNumberFormat="1" applyFont="1" applyBorder="1" applyAlignment="1">
      <alignment horizontal="right" vertical="center"/>
    </xf>
    <xf numFmtId="178" fontId="22" fillId="0" borderId="1" xfId="0" applyNumberFormat="1" applyFont="1" applyBorder="1" applyAlignment="1">
      <alignment horizontal="right" vertical="center"/>
    </xf>
    <xf numFmtId="172" fontId="21" fillId="0" borderId="1" xfId="9" applyNumberFormat="1" applyFont="1" applyBorder="1" applyAlignment="1">
      <alignment horizontal="right" vertical="center"/>
    </xf>
    <xf numFmtId="172" fontId="22" fillId="0" borderId="1" xfId="9" applyNumberFormat="1" applyFont="1" applyBorder="1" applyAlignment="1">
      <alignment horizontal="right" vertical="center"/>
    </xf>
    <xf numFmtId="178" fontId="21" fillId="0" borderId="9" xfId="0" applyNumberFormat="1" applyFont="1" applyBorder="1" applyAlignment="1">
      <alignment horizontal="right" vertical="center"/>
    </xf>
    <xf numFmtId="178" fontId="22" fillId="0" borderId="9" xfId="0" applyNumberFormat="1" applyFont="1" applyBorder="1" applyAlignment="1">
      <alignment horizontal="right" vertical="center"/>
    </xf>
    <xf numFmtId="172" fontId="21" fillId="0" borderId="9" xfId="9" applyNumberFormat="1" applyFont="1" applyBorder="1" applyAlignment="1">
      <alignment horizontal="right" vertical="center"/>
    </xf>
    <xf numFmtId="172" fontId="22" fillId="0" borderId="9" xfId="9" applyNumberFormat="1" applyFont="1" applyBorder="1" applyAlignment="1">
      <alignment horizontal="right" vertical="center"/>
    </xf>
    <xf numFmtId="178" fontId="24" fillId="5" borderId="15" xfId="8" applyNumberFormat="1" applyFont="1" applyFill="1" applyBorder="1" applyAlignment="1">
      <alignment horizontal="right" vertical="center"/>
    </xf>
    <xf numFmtId="178" fontId="24" fillId="5" borderId="12" xfId="8" applyNumberFormat="1" applyFont="1" applyFill="1" applyBorder="1" applyAlignment="1">
      <alignment horizontal="right" vertical="center"/>
    </xf>
    <xf numFmtId="178" fontId="25" fillId="5" borderId="12" xfId="0" applyNumberFormat="1" applyFont="1" applyFill="1" applyBorder="1" applyAlignment="1">
      <alignment horizontal="right" vertical="center"/>
    </xf>
    <xf numFmtId="172" fontId="24" fillId="5" borderId="15" xfId="9" applyNumberFormat="1" applyFont="1" applyFill="1" applyBorder="1" applyAlignment="1">
      <alignment horizontal="right" vertical="center"/>
    </xf>
    <xf numFmtId="172" fontId="24" fillId="5" borderId="12" xfId="9" applyNumberFormat="1" applyFont="1" applyFill="1" applyBorder="1" applyAlignment="1">
      <alignment horizontal="right" vertical="center"/>
    </xf>
    <xf numFmtId="172" fontId="25" fillId="5" borderId="12" xfId="9" applyNumberFormat="1" applyFont="1" applyFill="1" applyBorder="1" applyAlignment="1">
      <alignment horizontal="right" vertical="center"/>
    </xf>
    <xf numFmtId="178" fontId="21" fillId="5" borderId="16" xfId="0" applyNumberFormat="1" applyFont="1" applyFill="1" applyBorder="1" applyAlignment="1">
      <alignment horizontal="right" vertical="center"/>
    </xf>
    <xf numFmtId="178" fontId="22" fillId="5" borderId="16" xfId="0" applyNumberFormat="1" applyFont="1" applyFill="1" applyBorder="1" applyAlignment="1">
      <alignment horizontal="right" vertical="center"/>
    </xf>
    <xf numFmtId="172" fontId="21" fillId="5" borderId="16" xfId="9" applyNumberFormat="1" applyFont="1" applyFill="1" applyBorder="1" applyAlignment="1">
      <alignment horizontal="right" vertical="center"/>
    </xf>
    <xf numFmtId="172" fontId="22" fillId="5" borderId="16" xfId="9" applyNumberFormat="1" applyFont="1" applyFill="1" applyBorder="1" applyAlignment="1">
      <alignment horizontal="right" vertical="center"/>
    </xf>
    <xf numFmtId="178" fontId="21" fillId="5" borderId="8" xfId="0" applyNumberFormat="1" applyFont="1" applyFill="1" applyBorder="1" applyAlignment="1">
      <alignment horizontal="right" vertical="center"/>
    </xf>
    <xf numFmtId="178" fontId="21" fillId="5" borderId="9" xfId="0" applyNumberFormat="1" applyFont="1" applyFill="1" applyBorder="1" applyAlignment="1">
      <alignment horizontal="right" vertical="center"/>
    </xf>
    <xf numFmtId="178" fontId="22" fillId="5" borderId="9" xfId="0" applyNumberFormat="1" applyFont="1" applyFill="1" applyBorder="1" applyAlignment="1">
      <alignment horizontal="right" vertical="center"/>
    </xf>
    <xf numFmtId="172" fontId="21" fillId="5" borderId="8" xfId="9" applyNumberFormat="1" applyFont="1" applyFill="1" applyBorder="1" applyAlignment="1">
      <alignment horizontal="right" vertical="center"/>
    </xf>
    <xf numFmtId="172" fontId="21" fillId="5" borderId="9" xfId="9" applyNumberFormat="1" applyFont="1" applyFill="1" applyBorder="1" applyAlignment="1">
      <alignment horizontal="right" vertical="center"/>
    </xf>
    <xf numFmtId="172" fontId="22" fillId="5" borderId="9" xfId="9" applyNumberFormat="1" applyFont="1" applyFill="1" applyBorder="1" applyAlignment="1">
      <alignment horizontal="right" vertical="center"/>
    </xf>
    <xf numFmtId="175" fontId="8" fillId="0" borderId="0" xfId="0" applyNumberFormat="1" applyFont="1"/>
    <xf numFmtId="0" fontId="26" fillId="0" borderId="0" xfId="3" applyFont="1"/>
    <xf numFmtId="0" fontId="29" fillId="0" borderId="0" xfId="0" applyFont="1"/>
    <xf numFmtId="0" fontId="7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19" fillId="0" borderId="12" xfId="0" applyFont="1" applyBorder="1" applyAlignment="1">
      <alignment vertical="center" wrapText="1"/>
    </xf>
    <xf numFmtId="175" fontId="9" fillId="5" borderId="12" xfId="4" applyNumberFormat="1" applyFont="1" applyFill="1" applyBorder="1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19" fillId="0" borderId="12" xfId="0" applyFont="1" applyBorder="1" applyAlignment="1">
      <alignment vertical="center"/>
    </xf>
    <xf numFmtId="9" fontId="22" fillId="5" borderId="12" xfId="1" applyFont="1" applyFill="1" applyBorder="1" applyAlignment="1">
      <alignment horizontal="right" vertical="center"/>
    </xf>
    <xf numFmtId="0" fontId="8" fillId="5" borderId="12" xfId="0" applyFont="1" applyFill="1" applyBorder="1" applyAlignment="1">
      <alignment horizontal="center" wrapText="1"/>
    </xf>
    <xf numFmtId="179" fontId="22" fillId="5" borderId="12" xfId="0" applyNumberFormat="1" applyFont="1" applyFill="1" applyBorder="1" applyAlignment="1">
      <alignment horizontal="right" vertical="center"/>
    </xf>
    <xf numFmtId="179" fontId="22" fillId="6" borderId="12" xfId="0" applyNumberFormat="1" applyFont="1" applyFill="1" applyBorder="1" applyAlignment="1">
      <alignment horizontal="right" vertical="center"/>
    </xf>
    <xf numFmtId="179" fontId="22" fillId="5" borderId="12" xfId="4" applyNumberFormat="1" applyFont="1" applyFill="1" applyBorder="1" applyAlignment="1">
      <alignment horizontal="right" vertical="center"/>
    </xf>
    <xf numFmtId="0" fontId="7" fillId="0" borderId="0" xfId="10" applyFont="1" applyAlignment="1">
      <alignment wrapText="1"/>
    </xf>
    <xf numFmtId="0" fontId="8" fillId="5" borderId="13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9" fillId="0" borderId="12" xfId="10" applyFont="1" applyBorder="1" applyAlignment="1">
      <alignment wrapText="1"/>
    </xf>
    <xf numFmtId="3" fontId="9" fillId="5" borderId="1" xfId="11" applyNumberFormat="1" applyFont="1" applyFill="1" applyBorder="1" applyAlignment="1">
      <alignment horizontal="right"/>
    </xf>
    <xf numFmtId="3" fontId="9" fillId="6" borderId="1" xfId="11" applyNumberFormat="1" applyFont="1" applyFill="1" applyBorder="1" applyAlignment="1">
      <alignment horizontal="right"/>
    </xf>
    <xf numFmtId="0" fontId="7" fillId="0" borderId="11" xfId="10" applyFont="1" applyBorder="1" applyAlignment="1">
      <alignment wrapText="1"/>
    </xf>
    <xf numFmtId="0" fontId="30" fillId="0" borderId="11" xfId="10" applyFont="1" applyBorder="1" applyAlignment="1">
      <alignment wrapText="1"/>
    </xf>
    <xf numFmtId="3" fontId="9" fillId="6" borderId="9" xfId="11" applyNumberFormat="1" applyFont="1" applyFill="1" applyBorder="1" applyAlignment="1">
      <alignment horizontal="right"/>
    </xf>
    <xf numFmtId="0" fontId="7" fillId="0" borderId="12" xfId="3" applyFont="1" applyBorder="1" applyAlignment="1" applyProtection="1">
      <alignment wrapText="1"/>
      <protection hidden="1"/>
    </xf>
    <xf numFmtId="3" fontId="9" fillId="6" borderId="12" xfId="11" applyNumberFormat="1" applyFont="1" applyFill="1" applyBorder="1" applyAlignment="1">
      <alignment horizontal="right"/>
    </xf>
    <xf numFmtId="0" fontId="9" fillId="0" borderId="12" xfId="3" applyFont="1" applyBorder="1" applyAlignment="1" applyProtection="1">
      <alignment wrapText="1"/>
      <protection hidden="1"/>
    </xf>
    <xf numFmtId="10" fontId="22" fillId="5" borderId="12" xfId="1" applyNumberFormat="1" applyFont="1" applyFill="1" applyBorder="1" applyAlignment="1">
      <alignment horizontal="right" vertical="center"/>
    </xf>
    <xf numFmtId="170" fontId="9" fillId="7" borderId="12" xfId="1" applyNumberFormat="1" applyFont="1" applyFill="1" applyBorder="1" applyAlignment="1">
      <alignment horizontal="right"/>
    </xf>
    <xf numFmtId="0" fontId="7" fillId="0" borderId="5" xfId="10" applyFont="1" applyBorder="1" applyAlignment="1">
      <alignment wrapText="1"/>
    </xf>
    <xf numFmtId="0" fontId="30" fillId="0" borderId="5" xfId="10" applyFont="1" applyBorder="1" applyAlignment="1">
      <alignment wrapText="1"/>
    </xf>
    <xf numFmtId="170" fontId="22" fillId="5" borderId="12" xfId="1" applyNumberFormat="1" applyFont="1" applyFill="1" applyBorder="1" applyAlignment="1">
      <alignment horizontal="right" vertical="center"/>
    </xf>
    <xf numFmtId="170" fontId="7" fillId="4" borderId="12" xfId="1" applyNumberFormat="1" applyFont="1" applyFill="1" applyBorder="1"/>
    <xf numFmtId="9" fontId="7" fillId="6" borderId="12" xfId="1" applyFont="1" applyFill="1" applyBorder="1"/>
    <xf numFmtId="0" fontId="31" fillId="0" borderId="0" xfId="12" applyFont="1" applyAlignment="1">
      <alignment vertical="center" wrapText="1"/>
    </xf>
    <xf numFmtId="0" fontId="32" fillId="0" borderId="1" xfId="13" applyFont="1" applyBorder="1" applyAlignment="1">
      <alignment vertical="center" wrapText="1"/>
    </xf>
    <xf numFmtId="0" fontId="32" fillId="0" borderId="12" xfId="13" applyFont="1" applyBorder="1" applyAlignment="1">
      <alignment vertical="center" wrapText="1"/>
    </xf>
    <xf numFmtId="175" fontId="22" fillId="6" borderId="12" xfId="0" applyNumberFormat="1" applyFont="1" applyFill="1" applyBorder="1" applyAlignment="1">
      <alignment horizontal="right" vertical="center"/>
    </xf>
    <xf numFmtId="9" fontId="32" fillId="5" borderId="12" xfId="0" applyNumberFormat="1" applyFont="1" applyFill="1" applyBorder="1"/>
    <xf numFmtId="9" fontId="9" fillId="5" borderId="12" xfId="1" applyFont="1" applyFill="1" applyBorder="1"/>
    <xf numFmtId="9" fontId="7" fillId="4" borderId="12" xfId="1" applyFont="1" applyFill="1" applyBorder="1"/>
    <xf numFmtId="9" fontId="0" fillId="0" borderId="0" xfId="0" applyNumberFormat="1"/>
    <xf numFmtId="0" fontId="32" fillId="5" borderId="12" xfId="0" applyFont="1" applyFill="1" applyBorder="1" applyAlignment="1">
      <alignment wrapText="1"/>
    </xf>
    <xf numFmtId="0" fontId="8" fillId="5" borderId="8" xfId="0" applyFont="1" applyFill="1" applyBorder="1" applyAlignment="1">
      <alignment horizontal="center" vertical="center"/>
    </xf>
    <xf numFmtId="166" fontId="22" fillId="5" borderId="12" xfId="0" applyNumberFormat="1" applyFont="1" applyFill="1" applyBorder="1" applyAlignment="1">
      <alignment horizontal="right" vertical="center"/>
    </xf>
    <xf numFmtId="166" fontId="7" fillId="4" borderId="12" xfId="4" applyNumberFormat="1" applyFont="1" applyFill="1" applyBorder="1"/>
    <xf numFmtId="175" fontId="7" fillId="5" borderId="12" xfId="4" applyNumberFormat="1" applyFont="1" applyFill="1" applyBorder="1"/>
    <xf numFmtId="0" fontId="8" fillId="5" borderId="11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180" fontId="22" fillId="5" borderId="12" xfId="0" applyNumberFormat="1" applyFont="1" applyFill="1" applyBorder="1" applyAlignment="1">
      <alignment horizontal="right" vertical="center"/>
    </xf>
    <xf numFmtId="170" fontId="22" fillId="5" borderId="12" xfId="14" applyNumberFormat="1" applyFont="1" applyFill="1" applyBorder="1" applyAlignment="1">
      <alignment horizontal="right" vertical="center"/>
    </xf>
    <xf numFmtId="43" fontId="7" fillId="4" borderId="12" xfId="4" applyNumberFormat="1" applyFont="1" applyFill="1" applyBorder="1"/>
    <xf numFmtId="0" fontId="35" fillId="0" borderId="0" xfId="10" applyFont="1" applyAlignment="1">
      <alignment horizontal="left"/>
    </xf>
    <xf numFmtId="0" fontId="7" fillId="0" borderId="0" xfId="13" applyFont="1"/>
    <xf numFmtId="0" fontId="4" fillId="5" borderId="9" xfId="13" applyFont="1" applyFill="1" applyBorder="1" applyAlignment="1">
      <alignment horizontal="center" vertical="center" wrapText="1"/>
    </xf>
    <xf numFmtId="179" fontId="8" fillId="5" borderId="12" xfId="4" applyNumberFormat="1" applyFont="1" applyFill="1" applyBorder="1" applyAlignment="1">
      <alignment horizontal="center" vertical="center" wrapText="1"/>
    </xf>
    <xf numFmtId="0" fontId="36" fillId="0" borderId="0" xfId="15" applyAlignment="1" applyProtection="1"/>
    <xf numFmtId="175" fontId="22" fillId="6" borderId="0" xfId="0" applyNumberFormat="1" applyFont="1" applyFill="1" applyAlignment="1">
      <alignment horizontal="right" vertical="center"/>
    </xf>
    <xf numFmtId="175" fontId="22" fillId="6" borderId="10" xfId="0" applyNumberFormat="1" applyFont="1" applyFill="1" applyBorder="1" applyAlignment="1">
      <alignment horizontal="right" vertical="center"/>
    </xf>
    <xf numFmtId="175" fontId="22" fillId="8" borderId="12" xfId="0" applyNumberFormat="1" applyFont="1" applyFill="1" applyBorder="1" applyAlignment="1">
      <alignment horizontal="right" vertical="center"/>
    </xf>
    <xf numFmtId="9" fontId="22" fillId="5" borderId="12" xfId="14" applyFont="1" applyFill="1" applyBorder="1" applyAlignment="1">
      <alignment horizontal="right" vertical="center"/>
    </xf>
    <xf numFmtId="181" fontId="22" fillId="8" borderId="12" xfId="0" applyNumberFormat="1" applyFont="1" applyFill="1" applyBorder="1" applyAlignment="1">
      <alignment horizontal="right" vertical="center"/>
    </xf>
    <xf numFmtId="181" fontId="22" fillId="6" borderId="0" xfId="0" applyNumberFormat="1" applyFont="1" applyFill="1" applyAlignment="1">
      <alignment horizontal="right" vertical="center"/>
    </xf>
    <xf numFmtId="181" fontId="22" fillId="6" borderId="17" xfId="0" applyNumberFormat="1" applyFont="1" applyFill="1" applyBorder="1" applyAlignment="1">
      <alignment horizontal="right" vertical="center"/>
    </xf>
    <xf numFmtId="181" fontId="22" fillId="5" borderId="12" xfId="0" applyNumberFormat="1" applyFont="1" applyFill="1" applyBorder="1" applyAlignment="1">
      <alignment horizontal="right" vertical="center"/>
    </xf>
    <xf numFmtId="170" fontId="7" fillId="0" borderId="0" xfId="1" applyNumberFormat="1" applyFont="1"/>
    <xf numFmtId="9" fontId="0" fillId="0" borderId="0" xfId="1" applyFont="1"/>
    <xf numFmtId="10" fontId="0" fillId="0" borderId="0" xfId="1" applyNumberFormat="1" applyFont="1"/>
    <xf numFmtId="164" fontId="37" fillId="2" borderId="0" xfId="2" applyNumberFormat="1" applyFont="1" applyFill="1"/>
    <xf numFmtId="164" fontId="3" fillId="2" borderId="0" xfId="2" applyNumberFormat="1" applyFont="1" applyFill="1" applyAlignment="1">
      <alignment horizontal="center"/>
    </xf>
    <xf numFmtId="0" fontId="39" fillId="0" borderId="0" xfId="16" applyFont="1"/>
    <xf numFmtId="0" fontId="40" fillId="0" borderId="0" xfId="17" applyFont="1"/>
    <xf numFmtId="164" fontId="37" fillId="6" borderId="0" xfId="2" applyNumberFormat="1" applyFont="1" applyFill="1"/>
    <xf numFmtId="164" fontId="3" fillId="6" borderId="0" xfId="2" applyNumberFormat="1" applyFont="1" applyFill="1" applyAlignment="1">
      <alignment horizontal="center"/>
    </xf>
    <xf numFmtId="0" fontId="41" fillId="6" borderId="18" xfId="16" applyFont="1" applyFill="1" applyBorder="1" applyAlignment="1">
      <alignment vertical="center" wrapText="1"/>
    </xf>
    <xf numFmtId="0" fontId="41" fillId="6" borderId="19" xfId="16" applyFont="1" applyFill="1" applyBorder="1" applyAlignment="1">
      <alignment vertical="center" wrapText="1"/>
    </xf>
    <xf numFmtId="0" fontId="42" fillId="6" borderId="19" xfId="16" applyFont="1" applyFill="1" applyBorder="1" applyAlignment="1">
      <alignment vertical="center" wrapText="1"/>
    </xf>
    <xf numFmtId="0" fontId="43" fillId="6" borderId="20" xfId="16" applyFont="1" applyFill="1" applyBorder="1" applyAlignment="1">
      <alignment horizontal="center" wrapText="1"/>
    </xf>
    <xf numFmtId="0" fontId="39" fillId="6" borderId="21" xfId="16" applyFont="1" applyFill="1" applyBorder="1" applyAlignment="1">
      <alignment vertical="center" wrapText="1"/>
    </xf>
    <xf numFmtId="0" fontId="39" fillId="6" borderId="12" xfId="16" applyFont="1" applyFill="1" applyBorder="1" applyAlignment="1">
      <alignment vertical="center" wrapText="1"/>
    </xf>
    <xf numFmtId="175" fontId="39" fillId="3" borderId="9" xfId="18" applyNumberFormat="1" applyFont="1" applyFill="1" applyBorder="1" applyAlignment="1">
      <alignment horizontal="center" vertical="center" wrapText="1"/>
    </xf>
    <xf numFmtId="0" fontId="39" fillId="6" borderId="22" xfId="16" applyFont="1" applyFill="1" applyBorder="1" applyAlignment="1">
      <alignment vertical="center" wrapText="1"/>
    </xf>
    <xf numFmtId="0" fontId="39" fillId="6" borderId="23" xfId="16" applyFont="1" applyFill="1" applyBorder="1" applyAlignment="1">
      <alignment vertical="center" wrapText="1"/>
    </xf>
    <xf numFmtId="175" fontId="39" fillId="3" borderId="23" xfId="18" applyNumberFormat="1" applyFont="1" applyFill="1" applyBorder="1" applyAlignment="1">
      <alignment horizontal="center" vertical="center" wrapText="1"/>
    </xf>
    <xf numFmtId="0" fontId="44" fillId="0" borderId="0" xfId="16" applyFont="1"/>
    <xf numFmtId="0" fontId="45" fillId="6" borderId="19" xfId="16" applyFont="1" applyFill="1" applyBorder="1" applyAlignment="1">
      <alignment horizontal="center" vertical="center" wrapText="1"/>
    </xf>
    <xf numFmtId="0" fontId="45" fillId="6" borderId="19" xfId="16" applyFont="1" applyFill="1" applyBorder="1" applyAlignment="1">
      <alignment horizontal="center" wrapText="1"/>
    </xf>
    <xf numFmtId="182" fontId="39" fillId="3" borderId="23" xfId="16" applyNumberFormat="1" applyFont="1" applyFill="1" applyBorder="1" applyAlignment="1">
      <alignment horizontal="center" vertical="center" wrapText="1"/>
    </xf>
    <xf numFmtId="0" fontId="39" fillId="6" borderId="24" xfId="16" applyFont="1" applyFill="1" applyBorder="1" applyAlignment="1">
      <alignment horizontal="left" vertical="center" wrapText="1"/>
    </xf>
    <xf numFmtId="175" fontId="46" fillId="3" borderId="12" xfId="18" applyNumberFormat="1" applyFont="1" applyFill="1" applyBorder="1" applyAlignment="1">
      <alignment horizontal="center" vertical="center" wrapText="1"/>
    </xf>
    <xf numFmtId="0" fontId="39" fillId="6" borderId="25" xfId="16" applyFont="1" applyFill="1" applyBorder="1" applyAlignment="1">
      <alignment horizontal="left" vertical="center" wrapText="1"/>
    </xf>
    <xf numFmtId="0" fontId="46" fillId="3" borderId="12" xfId="19" applyNumberFormat="1" applyFont="1" applyFill="1" applyBorder="1" applyAlignment="1">
      <alignment horizontal="center" vertical="center" wrapText="1"/>
    </xf>
    <xf numFmtId="0" fontId="39" fillId="6" borderId="26" xfId="16" applyFont="1" applyFill="1" applyBorder="1" applyAlignment="1">
      <alignment horizontal="left" vertical="center" wrapText="1"/>
    </xf>
    <xf numFmtId="0" fontId="46" fillId="3" borderId="12" xfId="16" applyFont="1" applyFill="1" applyBorder="1" applyAlignment="1">
      <alignment horizontal="center" vertical="center" wrapText="1"/>
    </xf>
    <xf numFmtId="2" fontId="46" fillId="3" borderId="12" xfId="16" applyNumberFormat="1" applyFont="1" applyFill="1" applyBorder="1" applyAlignment="1">
      <alignment horizontal="center" vertical="center" wrapText="1"/>
    </xf>
    <xf numFmtId="0" fontId="39" fillId="0" borderId="27" xfId="16" applyFont="1" applyBorder="1"/>
    <xf numFmtId="0" fontId="39" fillId="0" borderId="28" xfId="16" applyFont="1" applyBorder="1"/>
    <xf numFmtId="0" fontId="39" fillId="0" borderId="28" xfId="16" applyFont="1" applyBorder="1" applyAlignment="1">
      <alignment horizontal="center"/>
    </xf>
    <xf numFmtId="0" fontId="41" fillId="6" borderId="29" xfId="16" applyFont="1" applyFill="1" applyBorder="1" applyAlignment="1">
      <alignment vertical="center" wrapText="1"/>
    </xf>
    <xf numFmtId="0" fontId="41" fillId="6" borderId="0" xfId="16" applyFont="1" applyFill="1" applyAlignment="1">
      <alignment vertical="center" wrapText="1"/>
    </xf>
    <xf numFmtId="0" fontId="42" fillId="6" borderId="0" xfId="16" applyFont="1" applyFill="1" applyAlignment="1">
      <alignment vertical="center" wrapText="1"/>
    </xf>
    <xf numFmtId="0" fontId="45" fillId="6" borderId="0" xfId="16" applyFont="1" applyFill="1" applyAlignment="1">
      <alignment horizontal="center" wrapText="1"/>
    </xf>
    <xf numFmtId="2" fontId="46" fillId="3" borderId="12" xfId="16" applyNumberFormat="1" applyFont="1" applyFill="1" applyBorder="1" applyAlignment="1">
      <alignment horizontal="center" wrapText="1"/>
    </xf>
    <xf numFmtId="0" fontId="46" fillId="6" borderId="30" xfId="16" applyFont="1" applyFill="1" applyBorder="1" applyAlignment="1">
      <alignment vertical="center" wrapText="1"/>
    </xf>
    <xf numFmtId="0" fontId="39" fillId="6" borderId="1" xfId="16" applyFont="1" applyFill="1" applyBorder="1" applyAlignment="1">
      <alignment vertical="center" wrapText="1"/>
    </xf>
    <xf numFmtId="167" fontId="46" fillId="3" borderId="1" xfId="18" applyFont="1" applyFill="1" applyBorder="1" applyAlignment="1">
      <alignment horizontal="center" vertical="center" wrapText="1"/>
    </xf>
    <xf numFmtId="0" fontId="41" fillId="6" borderId="18" xfId="16" applyFont="1" applyFill="1" applyBorder="1" applyAlignment="1">
      <alignment vertical="center" wrapText="1"/>
    </xf>
    <xf numFmtId="0" fontId="45" fillId="6" borderId="19" xfId="16" applyFont="1" applyFill="1" applyBorder="1" applyAlignment="1">
      <alignment vertical="center" wrapText="1"/>
    </xf>
    <xf numFmtId="0" fontId="47" fillId="6" borderId="19" xfId="16" applyFont="1" applyFill="1" applyBorder="1" applyAlignment="1">
      <alignment horizontal="center" wrapText="1"/>
    </xf>
    <xf numFmtId="0" fontId="39" fillId="6" borderId="21" xfId="16" applyFont="1" applyFill="1" applyBorder="1" applyAlignment="1">
      <alignment horizontal="left" vertical="center" wrapText="1"/>
    </xf>
    <xf numFmtId="0" fontId="45" fillId="6" borderId="12" xfId="16" applyFont="1" applyFill="1" applyBorder="1" applyAlignment="1">
      <alignment vertical="center" wrapText="1"/>
    </xf>
    <xf numFmtId="170" fontId="46" fillId="3" borderId="12" xfId="16" applyNumberFormat="1" applyFont="1" applyFill="1" applyBorder="1" applyAlignment="1">
      <alignment horizontal="center" vertical="center" wrapText="1"/>
    </xf>
    <xf numFmtId="0" fontId="39" fillId="6" borderId="12" xfId="16" applyFont="1" applyFill="1" applyBorder="1" applyAlignment="1">
      <alignment horizontal="left" vertical="center" wrapText="1"/>
    </xf>
    <xf numFmtId="170" fontId="46" fillId="3" borderId="12" xfId="16" applyNumberFormat="1" applyFont="1" applyFill="1" applyBorder="1" applyAlignment="1">
      <alignment horizontal="center" wrapText="1"/>
    </xf>
    <xf numFmtId="0" fontId="39" fillId="3" borderId="12" xfId="16" applyFont="1" applyFill="1" applyBorder="1" applyAlignment="1">
      <alignment horizontal="center" wrapText="1"/>
    </xf>
    <xf numFmtId="0" fontId="46" fillId="6" borderId="22" xfId="16" applyFont="1" applyFill="1" applyBorder="1" applyAlignment="1">
      <alignment horizontal="left" vertical="center" wrapText="1"/>
    </xf>
    <xf numFmtId="9" fontId="46" fillId="3" borderId="12" xfId="16" applyNumberFormat="1" applyFont="1" applyFill="1" applyBorder="1" applyAlignment="1">
      <alignment horizontal="center" vertical="center" wrapText="1"/>
    </xf>
    <xf numFmtId="0" fontId="39" fillId="6" borderId="30" xfId="16" applyFont="1" applyFill="1" applyBorder="1" applyAlignment="1">
      <alignment vertical="center" wrapText="1"/>
    </xf>
    <xf numFmtId="170" fontId="46" fillId="3" borderId="1" xfId="19" applyNumberFormat="1" applyFont="1" applyFill="1" applyBorder="1" applyAlignment="1">
      <alignment horizontal="center" wrapText="1"/>
    </xf>
    <xf numFmtId="3" fontId="39" fillId="3" borderId="12" xfId="16" applyNumberFormat="1" applyFont="1" applyFill="1" applyBorder="1" applyAlignment="1">
      <alignment horizontal="center" wrapText="1"/>
    </xf>
    <xf numFmtId="9" fontId="46" fillId="3" borderId="9" xfId="19" applyFont="1" applyFill="1" applyBorder="1" applyAlignment="1">
      <alignment horizontal="center" wrapText="1"/>
    </xf>
    <xf numFmtId="0" fontId="39" fillId="3" borderId="1" xfId="16" applyFont="1" applyFill="1" applyBorder="1" applyAlignment="1">
      <alignment horizontal="center" wrapText="1"/>
    </xf>
    <xf numFmtId="0" fontId="43" fillId="6" borderId="19" xfId="16" applyFont="1" applyFill="1" applyBorder="1" applyAlignment="1">
      <alignment horizontal="center" wrapText="1"/>
    </xf>
    <xf numFmtId="0" fontId="45" fillId="6" borderId="28" xfId="16" applyFont="1" applyFill="1" applyBorder="1" applyAlignment="1">
      <alignment vertical="center" wrapText="1"/>
    </xf>
    <xf numFmtId="0" fontId="45" fillId="6" borderId="31" xfId="16" applyFont="1" applyFill="1" applyBorder="1" applyAlignment="1">
      <alignment vertical="center" wrapText="1"/>
    </xf>
    <xf numFmtId="1" fontId="39" fillId="3" borderId="23" xfId="16" applyNumberFormat="1" applyFont="1" applyFill="1" applyBorder="1" applyAlignment="1">
      <alignment horizontal="center" wrapText="1"/>
    </xf>
    <xf numFmtId="0" fontId="39" fillId="0" borderId="0" xfId="16" applyFont="1" applyAlignment="1">
      <alignment wrapText="1"/>
    </xf>
    <xf numFmtId="0" fontId="39" fillId="0" borderId="0" xfId="16" applyFont="1" applyAlignment="1">
      <alignment horizontal="center" wrapText="1"/>
    </xf>
    <xf numFmtId="0" fontId="39" fillId="0" borderId="0" xfId="16" applyFont="1" applyAlignment="1">
      <alignment horizontal="center"/>
    </xf>
  </cellXfs>
  <cellStyles count="20">
    <cellStyle name="%" xfId="2"/>
    <cellStyle name="=C:\WINNT\SYSTEM32\COMMAND.COM 2 2" xfId="17"/>
    <cellStyle name="Comma 2" xfId="4"/>
    <cellStyle name="Comma 20" xfId="8"/>
    <cellStyle name="Comma 22" xfId="18"/>
    <cellStyle name="Hyperlink" xfId="15" builtinId="8"/>
    <cellStyle name="Normal" xfId="0" builtinId="0"/>
    <cellStyle name="Normal - Style1 2" xfId="3"/>
    <cellStyle name="Normal 16 3 2 2 3 14 3 2" xfId="12"/>
    <cellStyle name="Normal 2" xfId="7"/>
    <cellStyle name="Normal 2 10" xfId="11"/>
    <cellStyle name="Normal 2 2 2 2 2" xfId="6"/>
    <cellStyle name="Normal 7 5 2" xfId="13"/>
    <cellStyle name="Normal 80" xfId="16"/>
    <cellStyle name="Normal_GDPCR Table IP" xfId="5"/>
    <cellStyle name="Normal_Spreadsheet  5 yr draft v4 12 29_06_06" xfId="10"/>
    <cellStyle name="Percent" xfId="1" builtinId="5"/>
    <cellStyle name="Percent 10 2 2 4 14 2" xfId="9"/>
    <cellStyle name="Percent 18" xfId="19"/>
    <cellStyle name="Percent 2 2 50" xfId="1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2013/TG/Transmission/Transmission_Price_Controls_Lib/Regulatory_Reporting/RRP_2010/Transmission%20PCRRP%20tables_SPTL_200910%20draf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dsswrk002.uk.corporg.net\home3_wrk$\My%20Documents\Ant\Other\Graph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EXECFIN\FINPLAN\Monthly%20Reporting\0506\04%20-%20July\Report%20Schedules\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DOCUME~1\ostergmk\LOCALS~1\Temp\10%20year%20maturity%20T%20Bonds%20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DOCUME~1\byrnespj\LOCALS~1\Temp\Beta%20Retail%20Examp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2013/sgg/ElecDistrib/Elec_Distrib_Lib/Connections/Connections_Industry_Review/CIR%202010-11/submissions/GDNs/GDNS%20submissions%20with%20calc/Copy%20of%20CIR_2010_11_NG_LON_for%20cal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Universal data"/>
      <sheetName val="Check and Balances"/>
      <sheetName val="1.1 Published Data"/>
      <sheetName val="1.2s Ofgem Adjustments Scots"/>
      <sheetName val="1.3s Accounting C Costs Scots"/>
      <sheetName val="1.4s Performance Scots"/>
      <sheetName val="1.5s Reconciliation Scots"/>
      <sheetName val="2.1 Eng Opex Elec "/>
      <sheetName val="2.2 Non Op Capex"/>
      <sheetName val="2.4 Exc &amp; Demin "/>
      <sheetName val="2.5 Corporate Costs Scots"/>
      <sheetName val="2.6 IT Scots"/>
      <sheetName val="2.7s Insurance"/>
      <sheetName val="2.7 Captive Insure"/>
      <sheetName val="2.10 Related Party Scots"/>
      <sheetName val="2.11s Staff Scots"/>
      <sheetName val="2.14 Year on Year Movt"/>
      <sheetName val="2.16.1 Recharge Model"/>
      <sheetName val="2.16.2 Recharge Model"/>
      <sheetName val="3.1s Pensions Scots"/>
      <sheetName val="3.1.1 DB Pension cost"/>
      <sheetName val="3.1.2 DB Pension Detail"/>
      <sheetName val="3.1.3 Second DB Pension Det"/>
      <sheetName val="3.1.4 Pensions DC"/>
      <sheetName val="3.1.5 Pension PPF levy"/>
      <sheetName val="3.1.6 Pension Admin"/>
      <sheetName val="3.2 Net Debt"/>
      <sheetName val="3.3 Tax"/>
      <sheetName val="3.4s Disposals"/>
      <sheetName val="3.5 P&amp;L"/>
      <sheetName val="3.5.1 Bal Sht"/>
      <sheetName val="3.5.2 Cashflow"/>
      <sheetName val="3.6 Fin Require"/>
      <sheetName val="3.7 Tax allocations"/>
      <sheetName val="3.7.1 Tax allocations CT600"/>
      <sheetName val="4.1  System Info"/>
      <sheetName val="4.2  Activity indicators"/>
      <sheetName val="4.3_System_perf_SHETL_SPT"/>
      <sheetName val="4.4  Defects SPTL"/>
      <sheetName val="4.5  Faults"/>
      <sheetName val="4.6  Failures"/>
      <sheetName val="4.7 Condition Assessment SPTL"/>
      <sheetName val="4.8_Boundary_transf_capab"/>
      <sheetName val="4.9_Demand_&amp;_Supply_at_sub"/>
      <sheetName val="4.10 Reactive compensation"/>
      <sheetName val="4.11 Asset description SPTL"/>
      <sheetName val="4.12 Asset age 2007"/>
      <sheetName val="4.12 Asset age 2008"/>
      <sheetName val="4.12 Asset age 2009"/>
      <sheetName val="4.12 Asset age 2010"/>
      <sheetName val="4.13 Asset disposal LRE by age"/>
      <sheetName val="4.14 Asset disposal NLRE by age"/>
      <sheetName val="4.15 Asset adds &amp; disps"/>
      <sheetName val="4.16 Asset lives"/>
      <sheetName val="4.17 Unit costs"/>
      <sheetName val="4.18 Capex summary e"/>
      <sheetName val="4.19 Scheme Listing LR"/>
      <sheetName val="4.20 Scheme Listing NLR"/>
      <sheetName val="4.21 Quasi capex"/>
      <sheetName val="4.22 Other Capex costs"/>
      <sheetName val="4.23 TIRG"/>
      <sheetName val="4.24 Revenue Driver info"/>
      <sheetName val="4.25 CEI"/>
      <sheetName val="4.26 Capex Movement"/>
      <sheetName val="4.27.1 Capex Price Vol Var"/>
      <sheetName val="4.27.2 Capex Price Vol Var"/>
      <sheetName val="4.28A_Asset_health_&amp;_crit"/>
      <sheetName val="4.28B_Asset_health_&amp;_crit"/>
      <sheetName val="4.29C_Criticality_subs_SP"/>
      <sheetName val="4.30 TPCR Forecast"/>
      <sheetName val="4.31 E3 Grid"/>
      <sheetName val="3.1 P&amp;L"/>
      <sheetName val="3.2 Bal Sht"/>
      <sheetName val="3.3 Cashflow"/>
      <sheetName val="3.3.1 Fin Require"/>
      <sheetName val="3.5 Net Debt"/>
      <sheetName val="3.6 Tax"/>
      <sheetName val="3.8 DB Pension cost"/>
      <sheetName val="3.8.1 DB Pension Detail"/>
      <sheetName val="3.8.2 Second DB Pension Det"/>
      <sheetName val="3.9 Pensions DC"/>
      <sheetName val="3.10 Pension PPF levy"/>
      <sheetName val="3.11 Pension Admin"/>
      <sheetName val="4.3  System perf - SPTL"/>
      <sheetName val="4.8  Boundary Transfers"/>
      <sheetName val="4.9  Demand &amp; Supply at subs"/>
      <sheetName val="4.28 Asset Health"/>
      <sheetName val="4.29 Asset Criticality"/>
      <sheetName val="4.30 Asset Rep Priority"/>
      <sheetName val="4.31 Asset Live Det"/>
      <sheetName val="4.32 TPCR Forecast"/>
      <sheetName val="4.33 E3 Grid"/>
      <sheetName val="Lists"/>
    </sheetNames>
    <sheetDataSet>
      <sheetData sheetId="0"/>
      <sheetData sheetId="1"/>
      <sheetData sheetId="2">
        <row r="21">
          <cell r="C21" t="str">
            <v>2009/10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CKET"/>
      <sheetName val="SUN"/>
      <sheetName val="FF 02"/>
      <sheetName val="FF 03"/>
      <sheetName val="Graphs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D5">
            <v>-20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est"/>
      <sheetName val="Incentives"/>
      <sheetName val="Income collected"/>
      <sheetName val="Opex subjective"/>
      <sheetName val="Capex Comp"/>
      <sheetName val="Capex Comparators FOC"/>
      <sheetName val="Incentive Forecast"/>
      <sheetName val="Opex Comparators-sensitivities"/>
      <sheetName val="Opex Objective YTD"/>
      <sheetName val="Opex by FOC"/>
      <sheetName val="Opex Trend &amp; MAT"/>
      <sheetName val="Manpower"/>
      <sheetName val="Incentive Graphs"/>
      <sheetName val="Opex Objective Discrete Mths"/>
      <sheetName val="risk"/>
      <sheetName val="Manpower Summary"/>
      <sheetName val="Opex Subj by Mth"/>
      <sheetName val="Opex Objective Mth"/>
      <sheetName val="#REF"/>
      <sheetName val="By Account Code"/>
      <sheetName val="By Business Unit"/>
      <sheetName val="SummCapex"/>
      <sheetName val="ETO Capx"/>
      <sheetName val="ESO Capx"/>
      <sheetName val="GAS SO Capx"/>
      <sheetName val="GAS TO Capx "/>
      <sheetName val="Range Na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GcaSummary"/>
      <sheetName val="MarginSummary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Year ROIC Trees"/>
      <sheetName val="5 Year ROIC Trees"/>
      <sheetName val="Beta"/>
      <sheetName val="Cost of Debt (Industrial)"/>
      <sheetName val="Spread"/>
      <sheetName val="IBES Estimates"/>
      <sheetName val="Sheet4"/>
      <sheetName val="Risk-Free Rate"/>
      <sheetName val="Sheet3"/>
      <sheetName val="Operating Leases"/>
      <sheetName val="Sheet1"/>
      <sheetName val="Sheet2"/>
      <sheetName val="Spread|Growth"/>
      <sheetName val="Summary"/>
      <sheetName val="ABS"/>
      <sheetName val="ABS (Adjusted)"/>
      <sheetName val="ABS (2)"/>
      <sheetName val="AHMY"/>
      <sheetName val="AHMY (Adjusted)"/>
      <sheetName val="AHMY (2)"/>
      <sheetName val="BJ"/>
      <sheetName val="BJ (Adjusted)"/>
      <sheetName val="BJ (2)"/>
      <sheetName val="CAUFM"/>
      <sheetName val="CAUFM (Adjusted) "/>
      <sheetName val="CAUFM (2)"/>
      <sheetName val="COST"/>
      <sheetName val="COST (Adjusted)"/>
      <sheetName val="COST (2)"/>
      <sheetName val="DEFI"/>
      <sheetName val="DEFI (Adjusted) "/>
      <sheetName val="DEFI (2)"/>
      <sheetName val="GAP"/>
      <sheetName val="GAP (Adjusted) "/>
      <sheetName val="GAP (2)"/>
      <sheetName val="KM"/>
      <sheetName val="KM (Adjusted)"/>
      <sheetName val="KM (2)"/>
      <sheetName val="KR"/>
      <sheetName val="KR (Adjusted)"/>
      <sheetName val="KR (2)"/>
      <sheetName val="IMKTA"/>
      <sheetName val="IMKTA (Adjusted) "/>
      <sheetName val="IMKTA (2)"/>
      <sheetName val="METOL"/>
      <sheetName val="METOL (Adjusted)"/>
      <sheetName val="METOL (2)"/>
      <sheetName val="PUSH"/>
      <sheetName val="PUSH (Adjusted)"/>
      <sheetName val="PUSH (2)"/>
      <sheetName val="RDK"/>
      <sheetName val="RDK (Adjusted)"/>
      <sheetName val="RDK (2)"/>
      <sheetName val="SAGFO"/>
      <sheetName val="SAGFO (Adjusted) "/>
      <sheetName val="SAGFO (2)"/>
      <sheetName val="SVU"/>
      <sheetName val="SVU (Adjusted)"/>
      <sheetName val="SVU (2)"/>
      <sheetName val="SWY"/>
      <sheetName val="SWY (Adjusted)"/>
      <sheetName val="SWY (2)"/>
      <sheetName val="TEPH"/>
      <sheetName val="TEPH (Adjusted) "/>
      <sheetName val="TEPH (2)"/>
      <sheetName val="WIN"/>
      <sheetName val="WIN (Adjusted)"/>
      <sheetName val="WIN (2)"/>
      <sheetName val="WMK"/>
      <sheetName val="WMK (Adjusted)"/>
      <sheetName val="WMK (2)"/>
      <sheetName val="WMT"/>
      <sheetName val="WMT (Adjusted)"/>
      <sheetName val="WM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">
          <cell r="A15" t="e">
            <v>#NAME?</v>
          </cell>
          <cell r="D15" t="e">
            <v>#NAME?</v>
          </cell>
          <cell r="G15" t="e">
            <v>#NAME?</v>
          </cell>
          <cell r="J15" t="e">
            <v>#NAME?</v>
          </cell>
          <cell r="M15" t="e">
            <v>#NAME?</v>
          </cell>
          <cell r="P15" t="e">
            <v>#NAME?</v>
          </cell>
          <cell r="S15" t="e">
            <v>#NAME?</v>
          </cell>
          <cell r="V15" t="e">
            <v>#NAME?</v>
          </cell>
          <cell r="Y15" t="e">
            <v>#NAME?</v>
          </cell>
          <cell r="AB15" t="e">
            <v>#NAME?</v>
          </cell>
          <cell r="AE15" t="e">
            <v>#NAME?</v>
          </cell>
          <cell r="AH15" t="e">
            <v>#NAME?</v>
          </cell>
          <cell r="AK15" t="e">
            <v>#NAME?</v>
          </cell>
          <cell r="AN15" t="e">
            <v>#NAME?</v>
          </cell>
          <cell r="AQ15" t="e">
            <v>#NAME?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New Metered Connections"/>
      <sheetName val="DNO Names"/>
      <sheetName val="2. Out of area networks"/>
      <sheetName val="3. Enquiries Handled"/>
      <sheetName val="4. Connection Charges"/>
    </sheetNames>
    <sheetDataSet>
      <sheetData sheetId="0"/>
      <sheetData sheetId="1"/>
      <sheetData sheetId="2">
        <row r="188">
          <cell r="L188" t="str">
            <v>Northern Gas Networks Ltd</v>
          </cell>
        </row>
        <row r="189">
          <cell r="L189" t="str">
            <v>National Grid Gas plc North West</v>
          </cell>
        </row>
        <row r="190">
          <cell r="L190" t="str">
            <v>National Grid Gas plc West Midlands</v>
          </cell>
        </row>
        <row r="191">
          <cell r="L191" t="str">
            <v>National Grid Gas plc East of England</v>
          </cell>
        </row>
        <row r="192">
          <cell r="L192" t="str">
            <v>National Grid Gas plc London</v>
          </cell>
        </row>
        <row r="193">
          <cell r="L193" t="str">
            <v>Scotland Gas Networks plc</v>
          </cell>
        </row>
        <row r="194">
          <cell r="L194" t="str">
            <v>Southern Gas Networks plc</v>
          </cell>
        </row>
        <row r="195">
          <cell r="L195" t="str">
            <v>Wales and West Utilities Ltd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F237"/>
  <sheetViews>
    <sheetView tabSelected="1" topLeftCell="A22" zoomScale="90" zoomScaleNormal="90" workbookViewId="0">
      <selection activeCell="G33" sqref="G33"/>
    </sheetView>
  </sheetViews>
  <sheetFormatPr defaultColWidth="9.140625" defaultRowHeight="12.75"/>
  <cols>
    <col min="1" max="1" width="43.42578125" style="5" customWidth="1"/>
    <col min="2" max="2" width="15" style="7" customWidth="1"/>
    <col min="3" max="3" width="15" style="5" customWidth="1"/>
    <col min="4" max="4" width="15" style="6" customWidth="1"/>
    <col min="5" max="10" width="15" style="5" customWidth="1"/>
    <col min="11" max="11" width="19.85546875" style="5" bestFit="1" customWidth="1"/>
    <col min="12" max="12" width="44.140625" style="5" customWidth="1"/>
    <col min="13" max="20" width="9.85546875" style="5" bestFit="1" customWidth="1"/>
    <col min="21" max="21" width="12.140625" style="5" bestFit="1" customWidth="1"/>
    <col min="22" max="22" width="9.140625" style="5"/>
    <col min="23" max="23" width="44" style="5" customWidth="1"/>
    <col min="24" max="24" width="11.5703125" style="5" bestFit="1" customWidth="1"/>
    <col min="25" max="25" width="11.7109375" style="5" bestFit="1" customWidth="1"/>
    <col min="26" max="28" width="11.5703125" style="5" bestFit="1" customWidth="1"/>
    <col min="29" max="30" width="11.7109375" style="5" bestFit="1" customWidth="1"/>
    <col min="31" max="31" width="11.5703125" style="5" bestFit="1" customWidth="1"/>
    <col min="32" max="32" width="13.28515625" style="5" customWidth="1"/>
    <col min="33" max="16384" width="9.140625" style="5"/>
  </cols>
  <sheetData>
    <row r="1" spans="1:32" s="3" customFormat="1" ht="24.75">
      <c r="A1" s="1" t="s">
        <v>254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3" customFormat="1" ht="24.75">
      <c r="A2" s="1" t="s">
        <v>255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3" customFormat="1" ht="24.75">
      <c r="A3" s="1" t="s">
        <v>256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5" spans="1:32" ht="19.5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s="4" customFormat="1" ht="19.5"/>
    <row r="7" spans="1:32">
      <c r="A7" s="6" t="s">
        <v>1</v>
      </c>
    </row>
    <row r="8" spans="1:32">
      <c r="A8" s="7" t="str">
        <f>$A$3&amp;" prices"</f>
        <v>2017/18 prices</v>
      </c>
    </row>
    <row r="9" spans="1:32" ht="12.75" customHeight="1">
      <c r="A9" s="8"/>
      <c r="B9" s="9" t="s">
        <v>2</v>
      </c>
      <c r="C9" s="10"/>
      <c r="D9" s="10"/>
      <c r="E9" s="11"/>
      <c r="F9" s="12" t="s">
        <v>3</v>
      </c>
      <c r="G9" s="13" t="s">
        <v>4</v>
      </c>
      <c r="H9" s="14"/>
      <c r="I9" s="15"/>
      <c r="J9" s="16" t="s">
        <v>5</v>
      </c>
    </row>
    <row r="10" spans="1:32">
      <c r="A10" s="17"/>
      <c r="B10" s="18"/>
      <c r="C10" s="19"/>
      <c r="D10" s="19"/>
      <c r="E10" s="20"/>
      <c r="F10" s="21"/>
      <c r="G10" s="22"/>
      <c r="H10" s="23"/>
      <c r="I10" s="24"/>
      <c r="J10" s="25"/>
    </row>
    <row r="11" spans="1:32">
      <c r="A11" s="26" t="s">
        <v>6</v>
      </c>
      <c r="B11" s="27">
        <v>2014</v>
      </c>
      <c r="C11" s="28">
        <v>2015</v>
      </c>
      <c r="D11" s="28">
        <v>2016</v>
      </c>
      <c r="E11" s="28">
        <v>2017</v>
      </c>
      <c r="F11" s="28">
        <v>2018</v>
      </c>
      <c r="G11" s="28">
        <v>2019</v>
      </c>
      <c r="H11" s="28">
        <v>2020</v>
      </c>
      <c r="I11" s="28">
        <v>2021</v>
      </c>
      <c r="J11" s="29"/>
    </row>
    <row r="12" spans="1:32">
      <c r="A12" s="30" t="s">
        <v>7</v>
      </c>
      <c r="B12" s="31">
        <f t="shared" ref="B12:E27" si="0">+B62</f>
        <v>9.6836588664872227</v>
      </c>
      <c r="C12" s="31">
        <f t="shared" si="0"/>
        <v>16.058554457142861</v>
      </c>
      <c r="D12" s="31">
        <f t="shared" si="0"/>
        <v>21.100642678182432</v>
      </c>
      <c r="E12" s="31">
        <f t="shared" si="0"/>
        <v>15.517069290901008</v>
      </c>
      <c r="F12" s="31">
        <v>11.37648736578522</v>
      </c>
      <c r="G12" s="32">
        <v>13.788071156833034</v>
      </c>
      <c r="H12" s="32">
        <v>16.769523365422234</v>
      </c>
      <c r="I12" s="32">
        <v>20.875934104355405</v>
      </c>
      <c r="J12" s="33">
        <f>SUM(B12:I12)</f>
        <v>125.1699412851094</v>
      </c>
    </row>
    <row r="13" spans="1:32">
      <c r="A13" s="30" t="s">
        <v>8</v>
      </c>
      <c r="B13" s="34">
        <f t="shared" si="0"/>
        <v>7.1408476975994848</v>
      </c>
      <c r="C13" s="34">
        <f t="shared" si="0"/>
        <v>7.2972007948051951</v>
      </c>
      <c r="D13" s="34">
        <f t="shared" si="0"/>
        <v>10.469801154860617</v>
      </c>
      <c r="E13" s="34">
        <f t="shared" si="0"/>
        <v>9.1733197920524674</v>
      </c>
      <c r="F13" s="34">
        <v>10.035642509999997</v>
      </c>
      <c r="G13" s="35">
        <v>10.804980235180794</v>
      </c>
      <c r="H13" s="35">
        <v>8.5378520373060169</v>
      </c>
      <c r="I13" s="35">
        <v>8.4327802462145129</v>
      </c>
      <c r="J13" s="36">
        <f t="shared" ref="J13:J18" si="1">SUM(B13:I13)</f>
        <v>71.892424468019072</v>
      </c>
    </row>
    <row r="14" spans="1:32">
      <c r="A14" s="30" t="s">
        <v>9</v>
      </c>
      <c r="B14" s="34">
        <f t="shared" si="0"/>
        <v>3.1236366086853251</v>
      </c>
      <c r="C14" s="34">
        <f t="shared" si="0"/>
        <v>1.9043626909090912</v>
      </c>
      <c r="D14" s="34">
        <f t="shared" si="0"/>
        <v>3.409339196873153</v>
      </c>
      <c r="E14" s="34">
        <f t="shared" si="0"/>
        <v>2.2232292215060081</v>
      </c>
      <c r="F14" s="34">
        <v>2.1851143151615862</v>
      </c>
      <c r="G14" s="35">
        <v>4.1175969165317268</v>
      </c>
      <c r="H14" s="35">
        <v>3.7319644343235381</v>
      </c>
      <c r="I14" s="35">
        <v>3.8612052701811055</v>
      </c>
      <c r="J14" s="36">
        <f t="shared" si="1"/>
        <v>24.556448654171533</v>
      </c>
    </row>
    <row r="15" spans="1:32">
      <c r="A15" s="30" t="s">
        <v>10</v>
      </c>
      <c r="B15" s="34">
        <f t="shared" si="0"/>
        <v>2.2281547675490252</v>
      </c>
      <c r="C15" s="34">
        <f t="shared" si="0"/>
        <v>1.4748635688311691</v>
      </c>
      <c r="D15" s="34">
        <f t="shared" si="0"/>
        <v>1.9009655115106483</v>
      </c>
      <c r="E15" s="34">
        <f t="shared" si="0"/>
        <v>1.6988690806839457</v>
      </c>
      <c r="F15" s="34">
        <v>1.453329200431535</v>
      </c>
      <c r="G15" s="35">
        <v>1.8234504433075458</v>
      </c>
      <c r="H15" s="35">
        <v>1.2104614885667264</v>
      </c>
      <c r="I15" s="35">
        <v>1.2523807129615099</v>
      </c>
      <c r="J15" s="36">
        <f t="shared" si="1"/>
        <v>13.042474773842105</v>
      </c>
    </row>
    <row r="16" spans="1:32">
      <c r="A16" s="30" t="s">
        <v>11</v>
      </c>
      <c r="B16" s="34">
        <f t="shared" si="0"/>
        <v>21.782498785048428</v>
      </c>
      <c r="C16" s="34">
        <f t="shared" si="0"/>
        <v>25.297605397402606</v>
      </c>
      <c r="D16" s="34">
        <f t="shared" si="0"/>
        <v>27.765353616316578</v>
      </c>
      <c r="E16" s="34">
        <f t="shared" si="0"/>
        <v>32.572192296341839</v>
      </c>
      <c r="F16" s="34">
        <v>27.349356788621652</v>
      </c>
      <c r="G16" s="35">
        <v>32.180723375335525</v>
      </c>
      <c r="H16" s="35">
        <v>31.589344950798775</v>
      </c>
      <c r="I16" s="35">
        <v>23.513969477619355</v>
      </c>
      <c r="J16" s="36">
        <f t="shared" si="1"/>
        <v>222.05104468748476</v>
      </c>
    </row>
    <row r="17" spans="1:12">
      <c r="A17" s="37" t="s">
        <v>12</v>
      </c>
      <c r="B17" s="38">
        <f t="shared" si="0"/>
        <v>5.8042761480798255</v>
      </c>
      <c r="C17" s="38">
        <f t="shared" si="0"/>
        <v>5.2257511636363647</v>
      </c>
      <c r="D17" s="38">
        <f t="shared" si="0"/>
        <v>6.3882992351692396</v>
      </c>
      <c r="E17" s="38">
        <f t="shared" si="0"/>
        <v>16.623157250459034</v>
      </c>
      <c r="F17" s="38">
        <v>14.113578366272247</v>
      </c>
      <c r="G17" s="35">
        <v>16.035966148796028</v>
      </c>
      <c r="H17" s="35">
        <v>7.9285227501120579</v>
      </c>
      <c r="I17" s="35">
        <v>8.7666649907305683</v>
      </c>
      <c r="J17" s="39">
        <f t="shared" si="1"/>
        <v>80.886216053255339</v>
      </c>
    </row>
    <row r="18" spans="1:12">
      <c r="A18" s="37" t="s">
        <v>13</v>
      </c>
      <c r="B18" s="38">
        <f t="shared" si="0"/>
        <v>4.2677725354571692</v>
      </c>
      <c r="C18" s="38">
        <f t="shared" si="0"/>
        <v>4.7833992000000016</v>
      </c>
      <c r="D18" s="38">
        <f t="shared" si="0"/>
        <v>2.8952623393432084</v>
      </c>
      <c r="E18" s="38">
        <f t="shared" si="0"/>
        <v>2.6288483027477056</v>
      </c>
      <c r="F18" s="38">
        <v>3.230073711896293</v>
      </c>
      <c r="G18" s="35">
        <v>0.9250115335168384</v>
      </c>
      <c r="H18" s="35">
        <v>3.1152557915902128</v>
      </c>
      <c r="I18" s="35">
        <v>1.3255022132684808</v>
      </c>
      <c r="J18" s="39">
        <f t="shared" si="1"/>
        <v>23.171125627819908</v>
      </c>
    </row>
    <row r="19" spans="1:12">
      <c r="A19" s="40" t="s">
        <v>14</v>
      </c>
      <c r="B19" s="41">
        <f>SUM(B12:B16)</f>
        <v>43.958796725369481</v>
      </c>
      <c r="C19" s="41">
        <f>SUM(C12:C16)</f>
        <v>52.032586909090924</v>
      </c>
      <c r="D19" s="41">
        <f>SUM(D12:D16)</f>
        <v>64.646102157743428</v>
      </c>
      <c r="E19" s="41">
        <f>SUM(E12:E16)</f>
        <v>61.184679681485264</v>
      </c>
      <c r="F19" s="41">
        <f>SUM(F12:F16)</f>
        <v>52.399930179999991</v>
      </c>
      <c r="G19" s="41">
        <f t="shared" ref="G19:I19" si="2">SUM(G12:G16)</f>
        <v>62.714822127188626</v>
      </c>
      <c r="H19" s="41">
        <f t="shared" si="2"/>
        <v>61.839146276417289</v>
      </c>
      <c r="I19" s="41">
        <f t="shared" si="2"/>
        <v>57.93626981133189</v>
      </c>
      <c r="J19" s="41">
        <f>SUM(B19:I19)</f>
        <v>456.7123338686269</v>
      </c>
      <c r="K19" s="42"/>
    </row>
    <row r="20" spans="1:12">
      <c r="A20" s="30" t="s">
        <v>15</v>
      </c>
      <c r="B20" s="34">
        <f t="shared" si="0"/>
        <v>70.363507086534767</v>
      </c>
      <c r="C20" s="34">
        <f t="shared" si="0"/>
        <v>76.746459085714321</v>
      </c>
      <c r="D20" s="34">
        <f t="shared" si="0"/>
        <v>68.566858312020244</v>
      </c>
      <c r="E20" s="34">
        <f t="shared" si="0"/>
        <v>69.94875390948809</v>
      </c>
      <c r="F20" s="31">
        <v>66.405821178613351</v>
      </c>
      <c r="G20" s="35">
        <v>66.405821178613337</v>
      </c>
      <c r="H20" s="35">
        <v>61.968484714799139</v>
      </c>
      <c r="I20" s="35">
        <v>61.968484714799139</v>
      </c>
      <c r="J20" s="43">
        <f>SUM(B20:I20)</f>
        <v>542.37419018058245</v>
      </c>
    </row>
    <row r="21" spans="1:12">
      <c r="A21" s="30" t="s">
        <v>16</v>
      </c>
      <c r="B21" s="34">
        <f t="shared" si="0"/>
        <v>25.965305058434613</v>
      </c>
      <c r="C21" s="34">
        <f t="shared" si="0"/>
        <v>24.363632244155852</v>
      </c>
      <c r="D21" s="34">
        <f t="shared" si="0"/>
        <v>22.602387689757201</v>
      </c>
      <c r="E21" s="34">
        <f t="shared" si="0"/>
        <v>18.651934623238862</v>
      </c>
      <c r="F21" s="34">
        <v>24.680011096477525</v>
      </c>
      <c r="G21" s="35">
        <v>29.823048632856189</v>
      </c>
      <c r="H21" s="35">
        <v>26.4</v>
      </c>
      <c r="I21" s="35">
        <v>27.799999999999997</v>
      </c>
      <c r="J21" s="44">
        <f>SUM(B21:I21)</f>
        <v>200.28631934492023</v>
      </c>
    </row>
    <row r="22" spans="1:12">
      <c r="A22" s="30" t="s">
        <v>17</v>
      </c>
      <c r="B22" s="34">
        <f t="shared" si="0"/>
        <v>0.10090020061565155</v>
      </c>
      <c r="C22" s="34">
        <f t="shared" si="0"/>
        <v>3.4274244155844159E-2</v>
      </c>
      <c r="D22" s="34">
        <f t="shared" si="0"/>
        <v>1.1494764267351925E-2</v>
      </c>
      <c r="E22" s="34">
        <f t="shared" si="0"/>
        <v>0</v>
      </c>
      <c r="F22" s="45">
        <v>0.13777573999999998</v>
      </c>
      <c r="G22" s="35">
        <v>0.13584661282653815</v>
      </c>
      <c r="H22" s="35">
        <v>0.12615684473567201</v>
      </c>
      <c r="I22" s="35">
        <v>0.12490656648978567</v>
      </c>
      <c r="J22" s="46">
        <f>SUM(B22:I22)</f>
        <v>0.67135497309084347</v>
      </c>
    </row>
    <row r="23" spans="1:12" ht="15">
      <c r="A23" s="40" t="s">
        <v>18</v>
      </c>
      <c r="B23" s="41">
        <f t="shared" ref="B23:I23" si="3">SUM(B20:B22)</f>
        <v>96.429712345585031</v>
      </c>
      <c r="C23" s="41">
        <f t="shared" si="3"/>
        <v>101.14436557402601</v>
      </c>
      <c r="D23" s="41">
        <f t="shared" si="3"/>
        <v>91.180740766044806</v>
      </c>
      <c r="E23" s="41">
        <f t="shared" si="3"/>
        <v>88.600688532726949</v>
      </c>
      <c r="F23" s="41">
        <f>SUM(F20:F22)</f>
        <v>91.223608015090875</v>
      </c>
      <c r="G23" s="41">
        <f t="shared" si="3"/>
        <v>96.364716424296063</v>
      </c>
      <c r="H23" s="41">
        <f t="shared" si="3"/>
        <v>88.494641559534813</v>
      </c>
      <c r="I23" s="41">
        <f t="shared" si="3"/>
        <v>89.893391281288928</v>
      </c>
      <c r="J23" s="41">
        <f>SUM(B23:I23)</f>
        <v>743.33186449859352</v>
      </c>
      <c r="L23" s="47"/>
    </row>
    <row r="24" spans="1:12">
      <c r="A24" s="48" t="s">
        <v>19</v>
      </c>
      <c r="B24" s="34">
        <f t="shared" si="0"/>
        <v>14.596016402740213</v>
      </c>
      <c r="C24" s="34">
        <f t="shared" si="0"/>
        <v>16.977532628571435</v>
      </c>
      <c r="D24" s="34">
        <f t="shared" si="0"/>
        <v>18.579867166902222</v>
      </c>
      <c r="E24" s="34">
        <f t="shared" si="0"/>
        <v>18.9711361782913</v>
      </c>
      <c r="F24" s="49">
        <v>15.92340139228215</v>
      </c>
      <c r="G24" s="35">
        <v>15.758950846238328</v>
      </c>
      <c r="H24" s="35">
        <v>15.758950846238328</v>
      </c>
      <c r="I24" s="35">
        <v>14.758950846238328</v>
      </c>
      <c r="J24" s="50">
        <f t="shared" ref="J24:J37" si="4">SUM(B24:I24)</f>
        <v>131.32480630750229</v>
      </c>
    </row>
    <row r="25" spans="1:12">
      <c r="A25" s="48" t="s">
        <v>20</v>
      </c>
      <c r="B25" s="34">
        <f t="shared" si="0"/>
        <v>10.714512538598553</v>
      </c>
      <c r="C25" s="34">
        <f t="shared" si="0"/>
        <v>10.933483885714287</v>
      </c>
      <c r="D25" s="34">
        <f t="shared" si="0"/>
        <v>10.918612483618146</v>
      </c>
      <c r="E25" s="34">
        <f t="shared" si="0"/>
        <v>10.686846056420169</v>
      </c>
      <c r="F25" s="34">
        <v>10.896005425450188</v>
      </c>
      <c r="G25" s="35">
        <v>11.245094145715523</v>
      </c>
      <c r="H25" s="35">
        <v>11.030880119741497</v>
      </c>
      <c r="I25" s="35">
        <v>10.81666609376747</v>
      </c>
      <c r="J25" s="50">
        <f t="shared" si="4"/>
        <v>87.242100749025823</v>
      </c>
    </row>
    <row r="26" spans="1:12">
      <c r="A26" s="48" t="s">
        <v>21</v>
      </c>
      <c r="B26" s="34">
        <f t="shared" si="0"/>
        <v>17.863293796939399</v>
      </c>
      <c r="C26" s="34">
        <f t="shared" si="0"/>
        <v>16.046772685714288</v>
      </c>
      <c r="D26" s="34">
        <f t="shared" si="0"/>
        <v>14.32220170114352</v>
      </c>
      <c r="E26" s="34">
        <f t="shared" si="0"/>
        <v>13.88682673065326</v>
      </c>
      <c r="F26" s="34">
        <v>14.711413422920412</v>
      </c>
      <c r="G26" s="35">
        <v>16.230139121295</v>
      </c>
      <c r="H26" s="35">
        <v>16.069478601814481</v>
      </c>
      <c r="I26" s="35">
        <v>15.961229370906626</v>
      </c>
      <c r="J26" s="50">
        <f t="shared" si="4"/>
        <v>125.09135543138699</v>
      </c>
    </row>
    <row r="27" spans="1:12">
      <c r="A27" s="48" t="s">
        <v>22</v>
      </c>
      <c r="B27" s="34">
        <f t="shared" si="0"/>
        <v>9.113481678584078</v>
      </c>
      <c r="C27" s="34">
        <f t="shared" si="0"/>
        <v>10.030571766233768</v>
      </c>
      <c r="D27" s="34">
        <f t="shared" si="0"/>
        <v>10.394217273832828</v>
      </c>
      <c r="E27" s="34">
        <f t="shared" si="0"/>
        <v>10.487012205158996</v>
      </c>
      <c r="F27" s="34">
        <v>10.85431969244002</v>
      </c>
      <c r="G27" s="35">
        <v>10.5</v>
      </c>
      <c r="H27" s="35">
        <v>10.4</v>
      </c>
      <c r="I27" s="35">
        <v>10.3</v>
      </c>
      <c r="J27" s="50">
        <f t="shared" si="4"/>
        <v>82.079602616249687</v>
      </c>
    </row>
    <row r="28" spans="1:12">
      <c r="A28" s="48" t="s">
        <v>23</v>
      </c>
      <c r="B28" s="34">
        <f t="shared" ref="B28:E36" si="5">+B78</f>
        <v>0</v>
      </c>
      <c r="C28" s="34">
        <f t="shared" si="5"/>
        <v>0</v>
      </c>
      <c r="D28" s="34">
        <f t="shared" si="5"/>
        <v>0</v>
      </c>
      <c r="E28" s="34">
        <f t="shared" si="5"/>
        <v>0</v>
      </c>
      <c r="F28" s="34">
        <v>0</v>
      </c>
      <c r="G28" s="35">
        <v>0</v>
      </c>
      <c r="H28" s="35">
        <v>0</v>
      </c>
      <c r="I28" s="35">
        <v>0</v>
      </c>
      <c r="J28" s="50">
        <f t="shared" si="4"/>
        <v>0</v>
      </c>
    </row>
    <row r="29" spans="1:12">
      <c r="A29" s="48" t="s">
        <v>24</v>
      </c>
      <c r="B29" s="34">
        <f t="shared" si="5"/>
        <v>7.4319680495671703</v>
      </c>
      <c r="C29" s="34">
        <f t="shared" si="5"/>
        <v>7.3464700207792228</v>
      </c>
      <c r="D29" s="34">
        <f t="shared" si="5"/>
        <v>7.030764152640371</v>
      </c>
      <c r="E29" s="34">
        <f t="shared" si="5"/>
        <v>6.9594662961332991</v>
      </c>
      <c r="F29" s="34">
        <v>6.0268443310485882</v>
      </c>
      <c r="G29" s="35">
        <v>5.4962923310485881</v>
      </c>
      <c r="H29" s="35">
        <v>5.1962923310485882</v>
      </c>
      <c r="I29" s="35">
        <v>5.0962923310485877</v>
      </c>
      <c r="J29" s="50">
        <f t="shared" si="4"/>
        <v>50.584389843314412</v>
      </c>
    </row>
    <row r="30" spans="1:12">
      <c r="A30" s="37" t="s">
        <v>25</v>
      </c>
      <c r="B30" s="34">
        <f t="shared" si="5"/>
        <v>4.1571566327220131</v>
      </c>
      <c r="C30" s="34">
        <f t="shared" si="5"/>
        <v>4.5756115948051965</v>
      </c>
      <c r="D30" s="34">
        <f t="shared" si="5"/>
        <v>4.5246967493254537</v>
      </c>
      <c r="E30" s="34">
        <f t="shared" si="5"/>
        <v>3.9505773069828525</v>
      </c>
      <c r="F30" s="38">
        <v>3.330552</v>
      </c>
      <c r="G30" s="35">
        <v>2.8</v>
      </c>
      <c r="H30" s="35">
        <v>2.5</v>
      </c>
      <c r="I30" s="35">
        <v>2.4</v>
      </c>
      <c r="J30" s="51">
        <f t="shared" si="4"/>
        <v>28.238594283835518</v>
      </c>
    </row>
    <row r="31" spans="1:12">
      <c r="A31" s="52" t="s">
        <v>26</v>
      </c>
      <c r="B31" s="53">
        <f>SUM(B24:B29)</f>
        <v>59.719272466429409</v>
      </c>
      <c r="C31" s="53">
        <f>SUM(C24:C29)</f>
        <v>61.334830987013</v>
      </c>
      <c r="D31" s="53">
        <f>SUM(D24:D29)</f>
        <v>61.245662778137088</v>
      </c>
      <c r="E31" s="53">
        <f>SUM(E24:E29)</f>
        <v>60.991287466657027</v>
      </c>
      <c r="F31" s="53">
        <f>SUM(F24:F29)</f>
        <v>58.411984264141353</v>
      </c>
      <c r="G31" s="53">
        <f t="shared" ref="G31:I31" si="6">SUM(G24:G29)</f>
        <v>59.230476444297437</v>
      </c>
      <c r="H31" s="53">
        <f t="shared" si="6"/>
        <v>58.455601898842893</v>
      </c>
      <c r="I31" s="53">
        <f t="shared" si="6"/>
        <v>56.933138641961008</v>
      </c>
      <c r="J31" s="53">
        <f t="shared" si="4"/>
        <v>476.32225494747917</v>
      </c>
    </row>
    <row r="32" spans="1:12">
      <c r="A32" s="48" t="s">
        <v>27</v>
      </c>
      <c r="B32" s="34">
        <f t="shared" si="5"/>
        <v>25.709068136390176</v>
      </c>
      <c r="C32" s="34">
        <f t="shared" si="5"/>
        <v>26.304411319480529</v>
      </c>
      <c r="D32" s="34">
        <f t="shared" si="5"/>
        <v>21.86689510985482</v>
      </c>
      <c r="E32" s="34">
        <f t="shared" si="5"/>
        <v>22.435952977411986</v>
      </c>
      <c r="F32" s="54">
        <v>23.109581403763432</v>
      </c>
      <c r="G32" s="35">
        <v>22.83217334369867</v>
      </c>
      <c r="H32" s="35">
        <v>22.421298328739848</v>
      </c>
      <c r="I32" s="35">
        <v>22.021298328739846</v>
      </c>
      <c r="J32" s="55">
        <f t="shared" si="4"/>
        <v>186.70067894807931</v>
      </c>
    </row>
    <row r="33" spans="1:21">
      <c r="A33" s="48" t="s">
        <v>28</v>
      </c>
      <c r="B33" s="34">
        <f t="shared" si="5"/>
        <v>2.6432645877655463</v>
      </c>
      <c r="C33" s="34">
        <f t="shared" si="5"/>
        <v>2.5619997506493504</v>
      </c>
      <c r="D33" s="34">
        <f t="shared" si="5"/>
        <v>1.8997757201704184</v>
      </c>
      <c r="E33" s="34">
        <f t="shared" si="5"/>
        <v>2.0307198979937984</v>
      </c>
      <c r="F33" s="54">
        <v>1.7396409714280008</v>
      </c>
      <c r="G33" s="35">
        <v>2.5</v>
      </c>
      <c r="H33" s="35">
        <v>2.5</v>
      </c>
      <c r="I33" s="35">
        <v>2.5</v>
      </c>
      <c r="J33" s="55">
        <f t="shared" si="4"/>
        <v>18.375400928007114</v>
      </c>
    </row>
    <row r="34" spans="1:21">
      <c r="A34" s="56" t="s">
        <v>29</v>
      </c>
      <c r="B34" s="53">
        <f t="shared" ref="B34:D34" si="7">SUM(B32:B33)</f>
        <v>28.352332724155723</v>
      </c>
      <c r="C34" s="53">
        <f t="shared" si="7"/>
        <v>28.866411070129878</v>
      </c>
      <c r="D34" s="53">
        <f t="shared" si="7"/>
        <v>23.766670830025237</v>
      </c>
      <c r="E34" s="53">
        <f t="shared" ref="E34" si="8">SUM(E32:E33)</f>
        <v>24.466672875405784</v>
      </c>
      <c r="F34" s="41">
        <f>SUM(F32:F33)</f>
        <v>24.849222375191431</v>
      </c>
      <c r="G34" s="53">
        <f t="shared" ref="G34:I34" si="9">SUM(G32:G33)</f>
        <v>25.33217334369867</v>
      </c>
      <c r="H34" s="53">
        <f t="shared" si="9"/>
        <v>24.921298328739848</v>
      </c>
      <c r="I34" s="53">
        <f t="shared" si="9"/>
        <v>24.521298328739846</v>
      </c>
      <c r="J34" s="53">
        <f t="shared" si="4"/>
        <v>205.07607987608642</v>
      </c>
    </row>
    <row r="35" spans="1:21">
      <c r="A35" s="57" t="s">
        <v>30</v>
      </c>
      <c r="B35" s="53">
        <f>SUM(B34,B31)</f>
        <v>88.071605190585132</v>
      </c>
      <c r="C35" s="53">
        <f>SUM(C34,C31)</f>
        <v>90.201242057142878</v>
      </c>
      <c r="D35" s="53">
        <f>SUM(D34,D31)</f>
        <v>85.012333608162322</v>
      </c>
      <c r="E35" s="53">
        <f>SUM(E34,E31)</f>
        <v>85.457960342062819</v>
      </c>
      <c r="F35" s="53">
        <f>SUM(F34,F31)</f>
        <v>83.261206639332784</v>
      </c>
      <c r="G35" s="53">
        <f t="shared" ref="G35:I35" si="10">SUM(G34,G31)</f>
        <v>84.562649787996108</v>
      </c>
      <c r="H35" s="53">
        <f t="shared" si="10"/>
        <v>83.376900227582738</v>
      </c>
      <c r="I35" s="53">
        <f t="shared" si="10"/>
        <v>81.454436970700854</v>
      </c>
      <c r="J35" s="53">
        <f t="shared" si="4"/>
        <v>681.39833482356562</v>
      </c>
    </row>
    <row r="36" spans="1:21" ht="15">
      <c r="A36" s="58" t="s">
        <v>31</v>
      </c>
      <c r="B36" s="34">
        <f t="shared" si="5"/>
        <v>1.9668599785248916E-2</v>
      </c>
      <c r="C36" s="34">
        <f t="shared" si="5"/>
        <v>6.9619558441558455E-2</v>
      </c>
      <c r="D36" s="34">
        <f t="shared" si="5"/>
        <v>6.9619558441558455E-2</v>
      </c>
      <c r="E36" s="34">
        <f t="shared" si="5"/>
        <v>0.25327944254815243</v>
      </c>
      <c r="F36" s="59">
        <v>6.9769000000000005E-4</v>
      </c>
      <c r="G36" s="32">
        <v>0</v>
      </c>
      <c r="H36" s="32">
        <v>0</v>
      </c>
      <c r="I36" s="32">
        <v>0</v>
      </c>
      <c r="J36" s="59"/>
      <c r="L36" s="47"/>
    </row>
    <row r="37" spans="1:21">
      <c r="A37" s="60" t="s">
        <v>32</v>
      </c>
      <c r="B37" s="61">
        <f t="shared" ref="B37:I37" si="11">SUM(B35,B23,B19)</f>
        <v>228.46011426153967</v>
      </c>
      <c r="C37" s="61">
        <f t="shared" si="11"/>
        <v>243.37819454025981</v>
      </c>
      <c r="D37" s="61">
        <f t="shared" si="11"/>
        <v>240.83917653195056</v>
      </c>
      <c r="E37" s="61">
        <f t="shared" si="11"/>
        <v>235.243328556275</v>
      </c>
      <c r="F37" s="61">
        <f>SUM(F35,F23,F19)</f>
        <v>226.88474483442363</v>
      </c>
      <c r="G37" s="61">
        <f t="shared" si="11"/>
        <v>243.64218833948078</v>
      </c>
      <c r="H37" s="61">
        <f t="shared" si="11"/>
        <v>233.71068806353486</v>
      </c>
      <c r="I37" s="61">
        <f t="shared" si="11"/>
        <v>229.28409806332166</v>
      </c>
      <c r="J37" s="61">
        <f t="shared" si="4"/>
        <v>1881.442533190786</v>
      </c>
    </row>
    <row r="38" spans="1:21">
      <c r="A38" s="62" t="s">
        <v>33</v>
      </c>
      <c r="B38" s="63"/>
      <c r="C38" s="63"/>
      <c r="D38" s="63"/>
      <c r="E38" s="63"/>
      <c r="F38" s="63"/>
      <c r="G38" s="63"/>
      <c r="H38" s="63"/>
      <c r="I38" s="63"/>
      <c r="J38" s="64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</row>
    <row r="39" spans="1:21">
      <c r="A39" s="48" t="s">
        <v>34</v>
      </c>
      <c r="B39" s="34">
        <f t="shared" ref="B39:E42" si="12">+B89</f>
        <v>50.253313065041951</v>
      </c>
      <c r="C39" s="34">
        <f t="shared" si="12"/>
        <v>51.645930592207797</v>
      </c>
      <c r="D39" s="34">
        <f t="shared" si="12"/>
        <v>53.041216151988401</v>
      </c>
      <c r="E39" s="34">
        <f t="shared" si="12"/>
        <v>72.400000000000006</v>
      </c>
      <c r="F39" s="66">
        <v>58.751034240000003</v>
      </c>
      <c r="G39" s="35">
        <v>52.236551951638376</v>
      </c>
      <c r="H39" s="35">
        <v>52.095606149707102</v>
      </c>
      <c r="I39" s="35">
        <v>51.931959948301028</v>
      </c>
      <c r="J39" s="67">
        <f>SUM(B39:I39)</f>
        <v>442.35561209888471</v>
      </c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</row>
    <row r="40" spans="1:21">
      <c r="A40" s="48" t="s">
        <v>35</v>
      </c>
      <c r="B40" s="34">
        <f t="shared" si="12"/>
        <v>7.2719184072543452</v>
      </c>
      <c r="C40" s="34">
        <f t="shared" si="12"/>
        <v>9.2840358857142888</v>
      </c>
      <c r="D40" s="34">
        <f t="shared" si="12"/>
        <v>7.941284078504685</v>
      </c>
      <c r="E40" s="34">
        <f t="shared" si="12"/>
        <v>7.6330316104791089</v>
      </c>
      <c r="F40" s="66">
        <v>7.6463816399999995</v>
      </c>
      <c r="G40" s="35">
        <v>3.85</v>
      </c>
      <c r="H40" s="35">
        <v>11.03</v>
      </c>
      <c r="I40" s="35">
        <v>19.23</v>
      </c>
      <c r="J40" s="67">
        <f>SUM(B40:I40)</f>
        <v>73.886651621952439</v>
      </c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</row>
    <row r="41" spans="1:21">
      <c r="A41" s="48" t="s">
        <v>36</v>
      </c>
      <c r="B41" s="34">
        <f t="shared" si="12"/>
        <v>9.3944886346068621</v>
      </c>
      <c r="C41" s="34">
        <f t="shared" si="12"/>
        <v>6.7343826028007312</v>
      </c>
      <c r="D41" s="34">
        <f t="shared" si="12"/>
        <v>5.3</v>
      </c>
      <c r="E41" s="34">
        <f t="shared" si="12"/>
        <v>4.860712724060531</v>
      </c>
      <c r="F41" s="66">
        <v>5.0655784432499988</v>
      </c>
      <c r="G41" s="35">
        <v>5.4766014163628745</v>
      </c>
      <c r="H41" s="35">
        <v>5.5942321735171809</v>
      </c>
      <c r="I41" s="35">
        <v>5.1252754596260797</v>
      </c>
      <c r="J41" s="67">
        <f>SUM(B41:I41)</f>
        <v>47.551271454224263</v>
      </c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</row>
    <row r="42" spans="1:21">
      <c r="A42" s="68" t="s">
        <v>37</v>
      </c>
      <c r="B42" s="34">
        <f t="shared" si="12"/>
        <v>5.207343845112268</v>
      </c>
      <c r="C42" s="34">
        <f t="shared" si="12"/>
        <v>5.2921575116883126</v>
      </c>
      <c r="D42" s="34">
        <f t="shared" si="12"/>
        <v>7.3571984104433898</v>
      </c>
      <c r="E42" s="34">
        <f t="shared" si="12"/>
        <v>7.2661066560237302</v>
      </c>
      <c r="F42" s="66">
        <v>7.2209685800000001</v>
      </c>
      <c r="G42" s="35">
        <v>7.1919839999999997</v>
      </c>
      <c r="H42" s="35">
        <v>7.1919839999999997</v>
      </c>
      <c r="I42" s="35">
        <v>7.2015846201509417</v>
      </c>
      <c r="J42" s="69">
        <f>SUM(B42:I42)</f>
        <v>53.929327623418637</v>
      </c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</row>
    <row r="43" spans="1:21">
      <c r="A43" s="70" t="s">
        <v>38</v>
      </c>
      <c r="B43" s="64">
        <f t="shared" ref="B43:J43" si="13">SUM(B39:B42)</f>
        <v>72.127063952015419</v>
      </c>
      <c r="C43" s="64">
        <f t="shared" si="13"/>
        <v>72.956506592411131</v>
      </c>
      <c r="D43" s="64">
        <f t="shared" si="13"/>
        <v>73.639698640936473</v>
      </c>
      <c r="E43" s="64">
        <f t="shared" si="13"/>
        <v>92.15985099056337</v>
      </c>
      <c r="F43" s="71">
        <f t="shared" si="13"/>
        <v>78.683962903250006</v>
      </c>
      <c r="G43" s="71">
        <f t="shared" si="13"/>
        <v>68.755137368001257</v>
      </c>
      <c r="H43" s="71">
        <f t="shared" si="13"/>
        <v>75.911822323224285</v>
      </c>
      <c r="I43" s="71">
        <f t="shared" si="13"/>
        <v>83.488820028078052</v>
      </c>
      <c r="J43" s="72">
        <f t="shared" si="13"/>
        <v>617.72286279848004</v>
      </c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</row>
    <row r="44" spans="1:21" ht="25.5">
      <c r="A44" s="70" t="s">
        <v>39</v>
      </c>
      <c r="B44" s="64">
        <f t="shared" ref="B44:J44" si="14">+B43+B37</f>
        <v>300.58717821355509</v>
      </c>
      <c r="C44" s="64">
        <f t="shared" si="14"/>
        <v>316.33470113267094</v>
      </c>
      <c r="D44" s="64">
        <f t="shared" si="14"/>
        <v>314.478875172887</v>
      </c>
      <c r="E44" s="64">
        <f t="shared" si="14"/>
        <v>327.40317954683837</v>
      </c>
      <c r="F44" s="64">
        <f t="shared" si="14"/>
        <v>305.56870773767366</v>
      </c>
      <c r="G44" s="64">
        <f t="shared" si="14"/>
        <v>312.39732570748203</v>
      </c>
      <c r="H44" s="64">
        <f t="shared" si="14"/>
        <v>309.62251038675913</v>
      </c>
      <c r="I44" s="64">
        <f t="shared" si="14"/>
        <v>312.77291809139973</v>
      </c>
      <c r="J44" s="64">
        <f t="shared" si="14"/>
        <v>2499.165395989266</v>
      </c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</row>
    <row r="45" spans="1:21">
      <c r="B45" s="73"/>
      <c r="C45" s="73"/>
      <c r="D45" s="73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</row>
    <row r="46" spans="1:21">
      <c r="A46" s="74" t="s">
        <v>40</v>
      </c>
      <c r="B46" s="75"/>
      <c r="C46" s="75"/>
      <c r="D46" s="75"/>
      <c r="E46" s="76"/>
      <c r="F46" s="76"/>
      <c r="G46" s="76"/>
      <c r="H46" s="76"/>
      <c r="I46" s="76"/>
      <c r="J46" s="77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</row>
    <row r="47" spans="1:21">
      <c r="A47" s="78" t="s">
        <v>41</v>
      </c>
      <c r="B47" s="34">
        <v>0</v>
      </c>
      <c r="C47" s="34">
        <f t="shared" ref="B47:E51" si="15">+C97</f>
        <v>0</v>
      </c>
      <c r="D47" s="34">
        <f t="shared" si="15"/>
        <v>0</v>
      </c>
      <c r="E47" s="34">
        <f t="shared" si="15"/>
        <v>0</v>
      </c>
      <c r="F47" s="79">
        <v>0</v>
      </c>
      <c r="G47" s="35">
        <f>F47</f>
        <v>0</v>
      </c>
      <c r="H47" s="35"/>
      <c r="I47" s="35"/>
      <c r="J47" s="80">
        <f>SUM(B47:I47)</f>
        <v>0</v>
      </c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</row>
    <row r="48" spans="1:21">
      <c r="A48" s="78" t="s">
        <v>42</v>
      </c>
      <c r="B48" s="34">
        <f t="shared" si="15"/>
        <v>1.2401639944336329</v>
      </c>
      <c r="C48" s="34">
        <f t="shared" si="15"/>
        <v>2.4420398961038958</v>
      </c>
      <c r="D48" s="34">
        <f t="shared" si="15"/>
        <v>2.4420398961038958</v>
      </c>
      <c r="E48" s="34">
        <f t="shared" si="15"/>
        <v>2.4316501772679926</v>
      </c>
      <c r="F48" s="79">
        <v>2.0008599099999991</v>
      </c>
      <c r="G48" s="35">
        <f>F48</f>
        <v>2.0008599099999991</v>
      </c>
      <c r="H48" s="35">
        <f t="shared" ref="H48:I48" si="16">G48</f>
        <v>2.0008599099999991</v>
      </c>
      <c r="I48" s="35">
        <f t="shared" si="16"/>
        <v>2.0008599099999991</v>
      </c>
      <c r="J48" s="79">
        <f>SUM(B48:I48)</f>
        <v>16.559333603909412</v>
      </c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</row>
    <row r="49" spans="1:32">
      <c r="A49" s="78" t="s">
        <v>43</v>
      </c>
      <c r="B49" s="34">
        <v>0</v>
      </c>
      <c r="C49" s="34">
        <v>0</v>
      </c>
      <c r="D49" s="34">
        <v>1.5277411916904651E-2</v>
      </c>
      <c r="E49" s="34">
        <v>1.8116780000000002E-2</v>
      </c>
      <c r="F49" s="79">
        <v>0.30157821000000007</v>
      </c>
      <c r="G49" s="35">
        <v>-1.243E-3</v>
      </c>
      <c r="H49" s="35">
        <v>6.2041939209999999</v>
      </c>
      <c r="I49" s="35">
        <v>0</v>
      </c>
      <c r="J49" s="79">
        <f>SUM(B49:I49)</f>
        <v>6.5379233229169049</v>
      </c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</row>
    <row r="50" spans="1:32">
      <c r="A50" s="48" t="s">
        <v>23</v>
      </c>
      <c r="B50" s="34">
        <f t="shared" si="15"/>
        <v>0</v>
      </c>
      <c r="C50" s="34">
        <f t="shared" si="15"/>
        <v>0</v>
      </c>
      <c r="D50" s="34">
        <f t="shared" si="15"/>
        <v>0</v>
      </c>
      <c r="E50" s="34">
        <f t="shared" si="15"/>
        <v>0</v>
      </c>
      <c r="F50" s="66">
        <v>0</v>
      </c>
      <c r="G50" s="35">
        <f>F50</f>
        <v>0</v>
      </c>
      <c r="H50" s="35">
        <f t="shared" ref="H50:I51" si="17">G50</f>
        <v>0</v>
      </c>
      <c r="I50" s="35">
        <f t="shared" si="17"/>
        <v>0</v>
      </c>
      <c r="J50" s="79">
        <f>SUM(B50:I50)</f>
        <v>0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</row>
    <row r="51" spans="1:32">
      <c r="A51" s="48" t="s">
        <v>44</v>
      </c>
      <c r="B51" s="34">
        <f t="shared" si="15"/>
        <v>0</v>
      </c>
      <c r="C51" s="34">
        <f t="shared" si="15"/>
        <v>0</v>
      </c>
      <c r="D51" s="34">
        <f t="shared" si="15"/>
        <v>0</v>
      </c>
      <c r="E51" s="34">
        <f t="shared" si="15"/>
        <v>0</v>
      </c>
      <c r="F51" s="66">
        <v>0</v>
      </c>
      <c r="G51" s="35">
        <f>F51</f>
        <v>0</v>
      </c>
      <c r="H51" s="35">
        <f t="shared" si="17"/>
        <v>0</v>
      </c>
      <c r="I51" s="35">
        <f t="shared" si="17"/>
        <v>0</v>
      </c>
      <c r="J51" s="79">
        <f>SUM(B51:I51)</f>
        <v>0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</row>
    <row r="52" spans="1:32">
      <c r="A52" s="81" t="s">
        <v>45</v>
      </c>
      <c r="B52" s="71">
        <f t="shared" ref="B52" si="18">SUM(B47:B51)</f>
        <v>1.2401639944336329</v>
      </c>
      <c r="C52" s="71">
        <f>SUM(C47:C51)</f>
        <v>2.4420398961038958</v>
      </c>
      <c r="D52" s="71">
        <f>SUM(D47:D51)</f>
        <v>2.4573173080208006</v>
      </c>
      <c r="E52" s="71">
        <f t="shared" ref="E52:J52" si="19">SUM(E47:E51)</f>
        <v>2.4497669572679928</v>
      </c>
      <c r="F52" s="71">
        <f t="shared" si="19"/>
        <v>2.3024381199999993</v>
      </c>
      <c r="G52" s="71">
        <f t="shared" si="19"/>
        <v>1.999616909999999</v>
      </c>
      <c r="H52" s="71">
        <f t="shared" si="19"/>
        <v>8.205053830999999</v>
      </c>
      <c r="I52" s="71">
        <f t="shared" si="19"/>
        <v>2.0008599099999991</v>
      </c>
      <c r="J52" s="71">
        <f t="shared" si="19"/>
        <v>23.097256926826319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</row>
    <row r="53" spans="1:32">
      <c r="A53" s="82"/>
      <c r="B53" s="83"/>
      <c r="C53" s="84"/>
      <c r="D53" s="85"/>
      <c r="E53" s="84"/>
      <c r="F53" s="84"/>
      <c r="G53" s="84"/>
      <c r="H53" s="84"/>
      <c r="I53" s="84"/>
      <c r="J53" s="84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</row>
    <row r="54" spans="1:32" ht="25.5">
      <c r="A54" s="70" t="s">
        <v>46</v>
      </c>
      <c r="B54" s="86">
        <f t="shared" ref="B54:I54" si="20">+B44-B52</f>
        <v>299.34701421912143</v>
      </c>
      <c r="C54" s="86">
        <f t="shared" si="20"/>
        <v>313.89266123656705</v>
      </c>
      <c r="D54" s="86">
        <f>+D44-D52</f>
        <v>312.02155786486622</v>
      </c>
      <c r="E54" s="86">
        <f t="shared" si="20"/>
        <v>324.95341258957041</v>
      </c>
      <c r="F54" s="86">
        <f t="shared" si="20"/>
        <v>303.26626961767369</v>
      </c>
      <c r="G54" s="86">
        <f t="shared" si="20"/>
        <v>310.39770879748204</v>
      </c>
      <c r="H54" s="86">
        <f t="shared" si="20"/>
        <v>301.41745655575914</v>
      </c>
      <c r="I54" s="86">
        <f t="shared" si="20"/>
        <v>310.77205818139976</v>
      </c>
      <c r="J54" s="86">
        <f>SUM(B54:I54)</f>
        <v>2476.06813906244</v>
      </c>
    </row>
    <row r="55" spans="1:32">
      <c r="B55" s="73"/>
      <c r="C55" s="65"/>
      <c r="D55" s="87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</row>
    <row r="56" spans="1:32">
      <c r="D56" s="42"/>
      <c r="E56" s="42"/>
      <c r="F56" s="42"/>
    </row>
    <row r="57" spans="1:32">
      <c r="A57" s="6" t="s">
        <v>47</v>
      </c>
      <c r="E57" s="42"/>
      <c r="L57" s="6" t="s">
        <v>48</v>
      </c>
      <c r="O57" s="6"/>
      <c r="W57" s="6" t="s">
        <v>49</v>
      </c>
      <c r="Z57" s="6"/>
    </row>
    <row r="58" spans="1:32">
      <c r="A58" s="7" t="str">
        <f>+A8</f>
        <v>2017/18 prices</v>
      </c>
      <c r="O58" s="6"/>
      <c r="Z58" s="6"/>
    </row>
    <row r="59" spans="1:32" ht="12.75" customHeight="1">
      <c r="A59" s="8"/>
      <c r="B59" s="9" t="s">
        <v>2</v>
      </c>
      <c r="C59" s="10"/>
      <c r="D59" s="10"/>
      <c r="E59" s="10"/>
      <c r="F59" s="11"/>
      <c r="G59" s="9" t="s">
        <v>4</v>
      </c>
      <c r="H59" s="10"/>
      <c r="I59" s="11"/>
      <c r="J59" s="88"/>
      <c r="L59" s="8"/>
      <c r="M59" s="9"/>
      <c r="N59" s="10"/>
      <c r="O59" s="10"/>
      <c r="P59" s="10"/>
      <c r="Q59" s="10"/>
      <c r="R59" s="10"/>
      <c r="S59" s="10"/>
      <c r="T59" s="10"/>
      <c r="U59" s="11"/>
      <c r="W59" s="8"/>
      <c r="X59" s="9"/>
      <c r="Y59" s="10"/>
      <c r="Z59" s="10"/>
      <c r="AA59" s="10"/>
      <c r="AB59" s="10"/>
      <c r="AC59" s="10"/>
      <c r="AD59" s="10"/>
      <c r="AE59" s="10"/>
      <c r="AF59" s="11"/>
    </row>
    <row r="60" spans="1:32">
      <c r="A60" s="17"/>
      <c r="B60" s="18"/>
      <c r="C60" s="19"/>
      <c r="D60" s="19"/>
      <c r="E60" s="19"/>
      <c r="F60" s="20"/>
      <c r="G60" s="18"/>
      <c r="H60" s="19"/>
      <c r="I60" s="20"/>
      <c r="J60" s="89"/>
      <c r="L60" s="17"/>
      <c r="M60" s="18"/>
      <c r="N60" s="19"/>
      <c r="O60" s="19"/>
      <c r="P60" s="19"/>
      <c r="Q60" s="19"/>
      <c r="R60" s="19"/>
      <c r="S60" s="19"/>
      <c r="T60" s="19"/>
      <c r="U60" s="20"/>
      <c r="W60" s="17"/>
      <c r="X60" s="18"/>
      <c r="Y60" s="19"/>
      <c r="Z60" s="19"/>
      <c r="AA60" s="19"/>
      <c r="AB60" s="19"/>
      <c r="AC60" s="19"/>
      <c r="AD60" s="19"/>
      <c r="AE60" s="19"/>
      <c r="AF60" s="20"/>
    </row>
    <row r="61" spans="1:32" ht="25.5">
      <c r="A61" s="26" t="s">
        <v>6</v>
      </c>
      <c r="B61" s="27">
        <v>2014</v>
      </c>
      <c r="C61" s="28">
        <v>2015</v>
      </c>
      <c r="D61" s="28">
        <v>2016</v>
      </c>
      <c r="E61" s="90">
        <v>2017</v>
      </c>
      <c r="F61" s="28">
        <v>2018</v>
      </c>
      <c r="G61" s="90">
        <v>2019</v>
      </c>
      <c r="H61" s="28">
        <v>2020</v>
      </c>
      <c r="I61" s="91">
        <v>2021</v>
      </c>
      <c r="J61" s="92" t="s">
        <v>5</v>
      </c>
      <c r="L61" s="26" t="s">
        <v>6</v>
      </c>
      <c r="M61" s="27">
        <v>2014</v>
      </c>
      <c r="N61" s="28">
        <v>2015</v>
      </c>
      <c r="O61" s="28">
        <v>2016</v>
      </c>
      <c r="P61" s="90">
        <v>2017</v>
      </c>
      <c r="Q61" s="28">
        <v>2018</v>
      </c>
      <c r="R61" s="90">
        <v>2019</v>
      </c>
      <c r="S61" s="28">
        <v>2020</v>
      </c>
      <c r="T61" s="91">
        <v>2021</v>
      </c>
      <c r="U61" s="92" t="s">
        <v>5</v>
      </c>
      <c r="W61" s="26" t="s">
        <v>6</v>
      </c>
      <c r="X61" s="27">
        <v>2014</v>
      </c>
      <c r="Y61" s="28">
        <v>2015</v>
      </c>
      <c r="Z61" s="28">
        <v>2016</v>
      </c>
      <c r="AA61" s="90">
        <v>2017</v>
      </c>
      <c r="AB61" s="28">
        <v>2018</v>
      </c>
      <c r="AC61" s="90">
        <v>2019</v>
      </c>
      <c r="AD61" s="28">
        <v>2020</v>
      </c>
      <c r="AE61" s="91">
        <v>2021</v>
      </c>
      <c r="AF61" s="92" t="s">
        <v>5</v>
      </c>
    </row>
    <row r="62" spans="1:32">
      <c r="A62" s="30" t="s">
        <v>7</v>
      </c>
      <c r="B62" s="31">
        <v>9.6836588664872227</v>
      </c>
      <c r="C62" s="93">
        <v>16.058554457142861</v>
      </c>
      <c r="D62" s="93">
        <v>21.100642678182432</v>
      </c>
      <c r="E62" s="93">
        <v>15.517069290901008</v>
      </c>
      <c r="F62" s="93">
        <v>13.486459968602826</v>
      </c>
      <c r="G62" s="93">
        <v>15.768783963289458</v>
      </c>
      <c r="H62" s="93">
        <v>16.702461961115809</v>
      </c>
      <c r="I62" s="94">
        <v>16.806203960874292</v>
      </c>
      <c r="J62" s="33">
        <v>125.12383514659592</v>
      </c>
      <c r="K62" s="65"/>
      <c r="L62" s="30" t="s">
        <v>7</v>
      </c>
      <c r="M62" s="95">
        <f>B12-B62</f>
        <v>0</v>
      </c>
      <c r="N62" s="93">
        <f t="shared" ref="N62:U85" si="21">C12-C62</f>
        <v>0</v>
      </c>
      <c r="O62" s="93">
        <f t="shared" si="21"/>
        <v>0</v>
      </c>
      <c r="P62" s="93">
        <f t="shared" si="21"/>
        <v>0</v>
      </c>
      <c r="Q62" s="93">
        <f t="shared" si="21"/>
        <v>-2.1099726028176065</v>
      </c>
      <c r="R62" s="93">
        <f t="shared" si="21"/>
        <v>-1.9807128064564239</v>
      </c>
      <c r="S62" s="93">
        <f t="shared" si="21"/>
        <v>6.7061404306425487E-2</v>
      </c>
      <c r="T62" s="94">
        <f t="shared" si="21"/>
        <v>4.0697301434811131</v>
      </c>
      <c r="U62" s="33">
        <f t="shared" si="21"/>
        <v>4.6106138513479777E-2</v>
      </c>
      <c r="W62" s="30" t="s">
        <v>7</v>
      </c>
      <c r="X62" s="96">
        <f>M62/B62</f>
        <v>0</v>
      </c>
      <c r="Y62" s="97">
        <f t="shared" ref="Y62:Z94" si="22">N62/C62</f>
        <v>0</v>
      </c>
      <c r="Z62" s="97">
        <f>O62/D62</f>
        <v>0</v>
      </c>
      <c r="AA62" s="97">
        <f t="shared" ref="AA62:AF94" si="23">P62/E62</f>
        <v>0</v>
      </c>
      <c r="AB62" s="97">
        <f t="shared" si="23"/>
        <v>-0.15645118198027735</v>
      </c>
      <c r="AC62" s="97">
        <f t="shared" si="23"/>
        <v>-0.12560973700112993</v>
      </c>
      <c r="AD62" s="97">
        <f t="shared" si="23"/>
        <v>4.0150610408542101E-3</v>
      </c>
      <c r="AE62" s="98">
        <f t="shared" si="23"/>
        <v>0.24215641753221931</v>
      </c>
      <c r="AF62" s="99">
        <f t="shared" si="23"/>
        <v>3.6848405788922242E-4</v>
      </c>
    </row>
    <row r="63" spans="1:32">
      <c r="A63" s="30" t="s">
        <v>8</v>
      </c>
      <c r="B63" s="34">
        <v>7.1408476975994848</v>
      </c>
      <c r="C63" s="66">
        <v>7.2972007948051951</v>
      </c>
      <c r="D63" s="66">
        <v>10.469801154860617</v>
      </c>
      <c r="E63" s="66">
        <v>9.1733197920524674</v>
      </c>
      <c r="F63" s="66">
        <v>7.9284157949506682</v>
      </c>
      <c r="G63" s="66">
        <v>7.7209317954337013</v>
      </c>
      <c r="H63" s="66">
        <v>7.7209317954337013</v>
      </c>
      <c r="I63" s="100">
        <v>7.7209317954337013</v>
      </c>
      <c r="J63" s="36">
        <v>65.172380620569541</v>
      </c>
      <c r="K63" s="65"/>
      <c r="L63" s="30" t="s">
        <v>8</v>
      </c>
      <c r="M63" s="101">
        <f t="shared" ref="M63:M85" si="24">B13-B63</f>
        <v>0</v>
      </c>
      <c r="N63" s="66">
        <f t="shared" si="21"/>
        <v>0</v>
      </c>
      <c r="O63" s="66">
        <f t="shared" si="21"/>
        <v>0</v>
      </c>
      <c r="P63" s="66">
        <f t="shared" si="21"/>
        <v>0</v>
      </c>
      <c r="Q63" s="66">
        <f t="shared" si="21"/>
        <v>2.1072267150493289</v>
      </c>
      <c r="R63" s="66">
        <f t="shared" si="21"/>
        <v>3.0840484397470931</v>
      </c>
      <c r="S63" s="66">
        <f t="shared" si="21"/>
        <v>0.8169202418723156</v>
      </c>
      <c r="T63" s="100">
        <f t="shared" si="21"/>
        <v>0.7118484507808116</v>
      </c>
      <c r="U63" s="36">
        <f t="shared" si="21"/>
        <v>6.7200438474495314</v>
      </c>
      <c r="W63" s="30" t="s">
        <v>8</v>
      </c>
      <c r="X63" s="102">
        <f t="shared" ref="X63:AF94" si="25">M63/B63</f>
        <v>0</v>
      </c>
      <c r="Y63" s="103">
        <f t="shared" si="22"/>
        <v>0</v>
      </c>
      <c r="Z63" s="103">
        <f t="shared" si="22"/>
        <v>0</v>
      </c>
      <c r="AA63" s="103">
        <f t="shared" si="23"/>
        <v>0</v>
      </c>
      <c r="AB63" s="103">
        <f t="shared" si="23"/>
        <v>0.26578155958865679</v>
      </c>
      <c r="AC63" s="103">
        <f t="shared" si="23"/>
        <v>0.39943992790754285</v>
      </c>
      <c r="AD63" s="103">
        <f t="shared" si="23"/>
        <v>0.10580591352399421</v>
      </c>
      <c r="AE63" s="104">
        <f t="shared" si="23"/>
        <v>9.2197220444533864E-2</v>
      </c>
      <c r="AF63" s="105">
        <f t="shared" si="23"/>
        <v>0.10311183638623396</v>
      </c>
    </row>
    <row r="64" spans="1:32">
      <c r="A64" s="30" t="s">
        <v>9</v>
      </c>
      <c r="B64" s="34">
        <v>3.1236366086853251</v>
      </c>
      <c r="C64" s="66">
        <v>1.9043626909090912</v>
      </c>
      <c r="D64" s="66">
        <v>3.409339196873153</v>
      </c>
      <c r="E64" s="66">
        <v>2.2232292215060081</v>
      </c>
      <c r="F64" s="66">
        <v>2.6972919937205653</v>
      </c>
      <c r="G64" s="66">
        <v>6.1207779857505145</v>
      </c>
      <c r="H64" s="66">
        <v>5.3945839874411305</v>
      </c>
      <c r="I64" s="100">
        <v>5.7058099867165808</v>
      </c>
      <c r="J64" s="36">
        <v>30.579031671602369</v>
      </c>
      <c r="K64" s="65"/>
      <c r="L64" s="30" t="s">
        <v>9</v>
      </c>
      <c r="M64" s="101">
        <f t="shared" si="24"/>
        <v>0</v>
      </c>
      <c r="N64" s="66">
        <f t="shared" si="21"/>
        <v>0</v>
      </c>
      <c r="O64" s="66">
        <f t="shared" si="21"/>
        <v>0</v>
      </c>
      <c r="P64" s="66">
        <f t="shared" si="21"/>
        <v>0</v>
      </c>
      <c r="Q64" s="66">
        <f t="shared" si="21"/>
        <v>-0.51217767855897911</v>
      </c>
      <c r="R64" s="66">
        <f t="shared" si="21"/>
        <v>-2.0031810692187877</v>
      </c>
      <c r="S64" s="66">
        <f t="shared" si="21"/>
        <v>-1.6626195531175925</v>
      </c>
      <c r="T64" s="100">
        <f t="shared" si="21"/>
        <v>-1.8446047165354753</v>
      </c>
      <c r="U64" s="36">
        <f t="shared" si="21"/>
        <v>-6.0225830174308363</v>
      </c>
      <c r="W64" s="30" t="s">
        <v>9</v>
      </c>
      <c r="X64" s="102">
        <f t="shared" si="25"/>
        <v>0</v>
      </c>
      <c r="Y64" s="103">
        <f t="shared" si="22"/>
        <v>0</v>
      </c>
      <c r="Z64" s="103">
        <f t="shared" si="22"/>
        <v>0</v>
      </c>
      <c r="AA64" s="103">
        <f t="shared" si="23"/>
        <v>0</v>
      </c>
      <c r="AB64" s="103">
        <f t="shared" si="23"/>
        <v>-0.1898858854552474</v>
      </c>
      <c r="AC64" s="103">
        <f t="shared" si="23"/>
        <v>-0.32727556429628651</v>
      </c>
      <c r="AD64" s="103">
        <f t="shared" si="23"/>
        <v>-0.30820162536875068</v>
      </c>
      <c r="AE64" s="104">
        <f t="shared" si="23"/>
        <v>-0.3232853391244731</v>
      </c>
      <c r="AF64" s="105">
        <f t="shared" si="23"/>
        <v>-0.19695139735323239</v>
      </c>
    </row>
    <row r="65" spans="1:32">
      <c r="A65" s="30" t="s">
        <v>10</v>
      </c>
      <c r="B65" s="34">
        <v>2.2281547675490252</v>
      </c>
      <c r="C65" s="66">
        <v>1.4748635688311691</v>
      </c>
      <c r="D65" s="66">
        <v>1.9009655115106483</v>
      </c>
      <c r="E65" s="66">
        <v>1.6988690806839457</v>
      </c>
      <c r="F65" s="66">
        <v>1.2449039971017994</v>
      </c>
      <c r="G65" s="66">
        <v>1.2449039971017994</v>
      </c>
      <c r="H65" s="66">
        <v>1.2449039971017994</v>
      </c>
      <c r="I65" s="100">
        <v>1.3486459968602826</v>
      </c>
      <c r="J65" s="36">
        <v>12.386210916740469</v>
      </c>
      <c r="K65" s="65"/>
      <c r="L65" s="30" t="s">
        <v>10</v>
      </c>
      <c r="M65" s="101">
        <f t="shared" si="24"/>
        <v>0</v>
      </c>
      <c r="N65" s="66">
        <f t="shared" si="21"/>
        <v>0</v>
      </c>
      <c r="O65" s="66">
        <f t="shared" si="21"/>
        <v>0</v>
      </c>
      <c r="P65" s="66">
        <f t="shared" si="21"/>
        <v>0</v>
      </c>
      <c r="Q65" s="66">
        <f t="shared" si="21"/>
        <v>0.20842520332973558</v>
      </c>
      <c r="R65" s="66">
        <f t="shared" si="21"/>
        <v>0.57854644620574636</v>
      </c>
      <c r="S65" s="66">
        <f t="shared" si="21"/>
        <v>-3.4442508535073024E-2</v>
      </c>
      <c r="T65" s="100">
        <f t="shared" si="21"/>
        <v>-9.6265283898772758E-2</v>
      </c>
      <c r="U65" s="36">
        <f t="shared" si="21"/>
        <v>0.65626385710163682</v>
      </c>
      <c r="W65" s="30" t="s">
        <v>10</v>
      </c>
      <c r="X65" s="102">
        <f t="shared" si="25"/>
        <v>0</v>
      </c>
      <c r="Y65" s="103">
        <f t="shared" si="22"/>
        <v>0</v>
      </c>
      <c r="Z65" s="103">
        <f t="shared" si="22"/>
        <v>0</v>
      </c>
      <c r="AA65" s="103">
        <f t="shared" si="23"/>
        <v>0</v>
      </c>
      <c r="AB65" s="103">
        <f t="shared" si="23"/>
        <v>0.16742271196410338</v>
      </c>
      <c r="AC65" s="103">
        <f t="shared" si="23"/>
        <v>0.46473177654873971</v>
      </c>
      <c r="AD65" s="103">
        <f t="shared" si="23"/>
        <v>-2.7666798897952739E-2</v>
      </c>
      <c r="AE65" s="104">
        <f t="shared" si="23"/>
        <v>-7.1379208571325084E-2</v>
      </c>
      <c r="AF65" s="105">
        <f t="shared" si="23"/>
        <v>5.2983423382099E-2</v>
      </c>
    </row>
    <row r="66" spans="1:32">
      <c r="A66" s="30" t="s">
        <v>11</v>
      </c>
      <c r="B66" s="34">
        <v>21.782498785048428</v>
      </c>
      <c r="C66" s="66">
        <v>25.297605397402606</v>
      </c>
      <c r="D66" s="66">
        <v>27.765353616316578</v>
      </c>
      <c r="E66" s="66">
        <v>32.572192296341839</v>
      </c>
      <c r="F66" s="66">
        <v>27.284145936481103</v>
      </c>
      <c r="G66" s="66">
        <v>21.059625950972109</v>
      </c>
      <c r="H66" s="66">
        <v>23.75691794469267</v>
      </c>
      <c r="I66" s="100">
        <v>15.561299963772493</v>
      </c>
      <c r="J66" s="36">
        <v>195.07963989102785</v>
      </c>
      <c r="K66" s="65"/>
      <c r="L66" s="30" t="s">
        <v>11</v>
      </c>
      <c r="M66" s="101">
        <f t="shared" si="24"/>
        <v>0</v>
      </c>
      <c r="N66" s="66">
        <f t="shared" si="21"/>
        <v>0</v>
      </c>
      <c r="O66" s="66">
        <f t="shared" si="21"/>
        <v>0</v>
      </c>
      <c r="P66" s="66">
        <f t="shared" si="21"/>
        <v>0</v>
      </c>
      <c r="Q66" s="66">
        <f t="shared" si="21"/>
        <v>6.5210852140548781E-2</v>
      </c>
      <c r="R66" s="66">
        <f t="shared" si="21"/>
        <v>11.121097424363416</v>
      </c>
      <c r="S66" s="66">
        <f t="shared" si="21"/>
        <v>7.832427006106105</v>
      </c>
      <c r="T66" s="100">
        <f t="shared" si="21"/>
        <v>7.9526695138468622</v>
      </c>
      <c r="U66" s="36">
        <f t="shared" si="21"/>
        <v>26.971404796456909</v>
      </c>
      <c r="W66" s="30" t="s">
        <v>11</v>
      </c>
      <c r="X66" s="102">
        <f t="shared" si="25"/>
        <v>0</v>
      </c>
      <c r="Y66" s="103">
        <f t="shared" si="22"/>
        <v>0</v>
      </c>
      <c r="Z66" s="103">
        <f t="shared" si="22"/>
        <v>0</v>
      </c>
      <c r="AA66" s="103">
        <f t="shared" si="23"/>
        <v>0</v>
      </c>
      <c r="AB66" s="103">
        <f t="shared" si="23"/>
        <v>2.3900638961675035E-3</v>
      </c>
      <c r="AC66" s="103">
        <f t="shared" si="23"/>
        <v>0.52807668333017421</v>
      </c>
      <c r="AD66" s="103">
        <f t="shared" si="23"/>
        <v>0.32969036742646496</v>
      </c>
      <c r="AE66" s="104">
        <f t="shared" si="23"/>
        <v>0.51105431630783327</v>
      </c>
      <c r="AF66" s="105">
        <f t="shared" si="23"/>
        <v>0.13825843030837676</v>
      </c>
    </row>
    <row r="67" spans="1:32">
      <c r="A67" s="37" t="s">
        <v>12</v>
      </c>
      <c r="B67" s="38">
        <v>5.8042761480798255</v>
      </c>
      <c r="C67" s="106">
        <v>5.2257511636363647</v>
      </c>
      <c r="D67" s="106">
        <v>6.3882992351692396</v>
      </c>
      <c r="E67" s="106">
        <v>16.623157250459034</v>
      </c>
      <c r="F67" s="106">
        <v>11.204135973916195</v>
      </c>
      <c r="G67" s="106">
        <v>8.9218119792295614</v>
      </c>
      <c r="H67" s="106">
        <v>7.884391981644729</v>
      </c>
      <c r="I67" s="107">
        <v>8.2993599806786627</v>
      </c>
      <c r="J67" s="39">
        <v>70.351183712813622</v>
      </c>
      <c r="K67" s="65"/>
      <c r="L67" s="37" t="s">
        <v>12</v>
      </c>
      <c r="M67" s="108">
        <f t="shared" si="24"/>
        <v>0</v>
      </c>
      <c r="N67" s="106">
        <f t="shared" si="21"/>
        <v>0</v>
      </c>
      <c r="O67" s="106">
        <f t="shared" si="21"/>
        <v>0</v>
      </c>
      <c r="P67" s="106">
        <f t="shared" si="21"/>
        <v>0</v>
      </c>
      <c r="Q67" s="106">
        <f t="shared" si="21"/>
        <v>2.909442392356052</v>
      </c>
      <c r="R67" s="106">
        <f t="shared" si="21"/>
        <v>7.1141541695664667</v>
      </c>
      <c r="S67" s="106">
        <f t="shared" si="21"/>
        <v>4.4130768467328885E-2</v>
      </c>
      <c r="T67" s="107">
        <f t="shared" si="21"/>
        <v>0.46730501005190561</v>
      </c>
      <c r="U67" s="39">
        <f t="shared" si="21"/>
        <v>10.535032340441717</v>
      </c>
      <c r="W67" s="37" t="s">
        <v>12</v>
      </c>
      <c r="X67" s="109">
        <f t="shared" si="25"/>
        <v>0</v>
      </c>
      <c r="Y67" s="110">
        <f t="shared" si="22"/>
        <v>0</v>
      </c>
      <c r="Z67" s="110">
        <f t="shared" si="22"/>
        <v>0</v>
      </c>
      <c r="AA67" s="110">
        <f t="shared" si="23"/>
        <v>0</v>
      </c>
      <c r="AB67" s="110">
        <f t="shared" si="23"/>
        <v>0.25967574823523953</v>
      </c>
      <c r="AC67" s="110">
        <f t="shared" si="23"/>
        <v>0.79738893692543455</v>
      </c>
      <c r="AD67" s="110">
        <f t="shared" si="23"/>
        <v>5.5972316660647505E-3</v>
      </c>
      <c r="AE67" s="111">
        <f t="shared" si="23"/>
        <v>5.6306150250117565E-2</v>
      </c>
      <c r="AF67" s="112">
        <f t="shared" si="23"/>
        <v>0.14974918380119434</v>
      </c>
    </row>
    <row r="68" spans="1:32">
      <c r="A68" s="37" t="s">
        <v>13</v>
      </c>
      <c r="B68" s="38">
        <v>4.2677725354571692</v>
      </c>
      <c r="C68" s="113">
        <v>4.7833992000000016</v>
      </c>
      <c r="D68" s="113">
        <v>2.8952623393432084</v>
      </c>
      <c r="E68" s="113">
        <v>2.6288483027477056</v>
      </c>
      <c r="F68" s="113">
        <v>3.7347119913053981</v>
      </c>
      <c r="G68" s="113">
        <v>0.93367799782634953</v>
      </c>
      <c r="H68" s="113">
        <v>4.0459379905808479</v>
      </c>
      <c r="I68" s="114">
        <v>0.31122599927544986</v>
      </c>
      <c r="J68" s="39">
        <v>23.600836356536131</v>
      </c>
      <c r="K68" s="65"/>
      <c r="L68" s="37" t="s">
        <v>13</v>
      </c>
      <c r="M68" s="108">
        <f t="shared" si="24"/>
        <v>0</v>
      </c>
      <c r="N68" s="113">
        <f t="shared" si="21"/>
        <v>0</v>
      </c>
      <c r="O68" s="113">
        <f t="shared" si="21"/>
        <v>0</v>
      </c>
      <c r="P68" s="113">
        <f t="shared" si="21"/>
        <v>0</v>
      </c>
      <c r="Q68" s="113">
        <f t="shared" si="21"/>
        <v>-0.50463827940910511</v>
      </c>
      <c r="R68" s="113">
        <f t="shared" si="21"/>
        <v>-8.6664643095111238E-3</v>
      </c>
      <c r="S68" s="113">
        <f t="shared" si="21"/>
        <v>-0.93068219899063509</v>
      </c>
      <c r="T68" s="114">
        <f t="shared" si="21"/>
        <v>1.014276213993031</v>
      </c>
      <c r="U68" s="39">
        <f t="shared" si="21"/>
        <v>-0.4297107287162234</v>
      </c>
      <c r="W68" s="37" t="s">
        <v>13</v>
      </c>
      <c r="X68" s="109">
        <f t="shared" si="25"/>
        <v>0</v>
      </c>
      <c r="Y68" s="115">
        <f t="shared" si="22"/>
        <v>0</v>
      </c>
      <c r="Z68" s="115">
        <f t="shared" si="22"/>
        <v>0</v>
      </c>
      <c r="AA68" s="115">
        <f t="shared" si="23"/>
        <v>0</v>
      </c>
      <c r="AB68" s="115">
        <f t="shared" si="23"/>
        <v>-0.13512106973280108</v>
      </c>
      <c r="AC68" s="115">
        <f t="shared" si="23"/>
        <v>-9.2820697603318257E-3</v>
      </c>
      <c r="AD68" s="115">
        <f t="shared" si="23"/>
        <v>-0.23002878471131075</v>
      </c>
      <c r="AE68" s="116">
        <f t="shared" si="23"/>
        <v>3.2589700614804618</v>
      </c>
      <c r="AF68" s="112">
        <f t="shared" si="23"/>
        <v>-1.820743647490345E-2</v>
      </c>
    </row>
    <row r="69" spans="1:32">
      <c r="A69" s="40" t="s">
        <v>14</v>
      </c>
      <c r="B69" s="41">
        <v>43.958796725369488</v>
      </c>
      <c r="C69" s="41">
        <v>52.032586909090931</v>
      </c>
      <c r="D69" s="117">
        <v>64.646102157743428</v>
      </c>
      <c r="E69" s="117">
        <v>61.184679681485271</v>
      </c>
      <c r="F69" s="117">
        <v>52.641217690856969</v>
      </c>
      <c r="G69" s="117">
        <v>51.915023692547578</v>
      </c>
      <c r="H69" s="117">
        <v>54.819799685785114</v>
      </c>
      <c r="I69" s="117">
        <v>47.142891703657348</v>
      </c>
      <c r="J69" s="41">
        <v>428.34109824653615</v>
      </c>
      <c r="K69" s="65"/>
      <c r="L69" s="40" t="s">
        <v>14</v>
      </c>
      <c r="M69" s="118">
        <f t="shared" si="24"/>
        <v>0</v>
      </c>
      <c r="N69" s="49">
        <f t="shared" si="21"/>
        <v>0</v>
      </c>
      <c r="O69" s="117">
        <f t="shared" si="21"/>
        <v>0</v>
      </c>
      <c r="P69" s="117">
        <f t="shared" si="21"/>
        <v>0</v>
      </c>
      <c r="Q69" s="117">
        <f t="shared" si="21"/>
        <v>-0.24128751085697786</v>
      </c>
      <c r="R69" s="117">
        <f t="shared" si="21"/>
        <v>10.799798434641048</v>
      </c>
      <c r="S69" s="117">
        <f t="shared" si="21"/>
        <v>7.0193465906321748</v>
      </c>
      <c r="T69" s="117">
        <f t="shared" si="21"/>
        <v>10.793378107674542</v>
      </c>
      <c r="U69" s="41">
        <f t="shared" si="21"/>
        <v>28.371235622090751</v>
      </c>
      <c r="W69" s="40" t="s">
        <v>14</v>
      </c>
      <c r="X69" s="119">
        <f t="shared" si="25"/>
        <v>0</v>
      </c>
      <c r="Y69" s="120">
        <f t="shared" si="22"/>
        <v>0</v>
      </c>
      <c r="Z69" s="121">
        <f t="shared" si="22"/>
        <v>0</v>
      </c>
      <c r="AA69" s="121">
        <f t="shared" si="23"/>
        <v>0</v>
      </c>
      <c r="AB69" s="121">
        <f t="shared" si="23"/>
        <v>-4.5836232792708757E-3</v>
      </c>
      <c r="AC69" s="121">
        <f t="shared" si="23"/>
        <v>0.20802838304764876</v>
      </c>
      <c r="AD69" s="121">
        <f t="shared" si="23"/>
        <v>0.1280440029125518</v>
      </c>
      <c r="AE69" s="121">
        <f t="shared" si="23"/>
        <v>0.22895027686299504</v>
      </c>
      <c r="AF69" s="119">
        <f t="shared" si="23"/>
        <v>6.6235147031727018E-2</v>
      </c>
    </row>
    <row r="70" spans="1:32">
      <c r="A70" s="30" t="s">
        <v>15</v>
      </c>
      <c r="B70" s="34">
        <v>70.363507086534767</v>
      </c>
      <c r="C70" s="66">
        <v>76.746459085714321</v>
      </c>
      <c r="D70" s="66">
        <v>68.566858312020244</v>
      </c>
      <c r="E70" s="66">
        <v>69.94875390948809</v>
      </c>
      <c r="F70" s="66">
        <v>75.967656690968241</v>
      </c>
      <c r="G70" s="66">
        <v>72.352824412302922</v>
      </c>
      <c r="H70" s="66">
        <v>69.754785276477662</v>
      </c>
      <c r="I70" s="100">
        <v>69.004600267604857</v>
      </c>
      <c r="J70" s="36">
        <v>572.70544504111115</v>
      </c>
      <c r="K70" s="65"/>
      <c r="L70" s="30" t="s">
        <v>15</v>
      </c>
      <c r="M70" s="95">
        <f t="shared" si="24"/>
        <v>0</v>
      </c>
      <c r="N70" s="93">
        <f t="shared" si="21"/>
        <v>0</v>
      </c>
      <c r="O70" s="93">
        <f t="shared" si="21"/>
        <v>0</v>
      </c>
      <c r="P70" s="93">
        <f t="shared" si="21"/>
        <v>0</v>
      </c>
      <c r="Q70" s="93">
        <f t="shared" si="21"/>
        <v>-9.5618355123548895</v>
      </c>
      <c r="R70" s="93">
        <f t="shared" si="21"/>
        <v>-5.9470032336895855</v>
      </c>
      <c r="S70" s="93">
        <f t="shared" si="21"/>
        <v>-7.786300561678523</v>
      </c>
      <c r="T70" s="93">
        <f t="shared" si="21"/>
        <v>-7.0361155528057182</v>
      </c>
      <c r="U70" s="43">
        <f t="shared" si="21"/>
        <v>-30.331254860528702</v>
      </c>
      <c r="W70" s="30" t="s">
        <v>15</v>
      </c>
      <c r="X70" s="96">
        <f t="shared" si="25"/>
        <v>0</v>
      </c>
      <c r="Y70" s="97">
        <f t="shared" si="22"/>
        <v>0</v>
      </c>
      <c r="Z70" s="97">
        <f t="shared" si="22"/>
        <v>0</v>
      </c>
      <c r="AA70" s="97">
        <f t="shared" si="23"/>
        <v>0</v>
      </c>
      <c r="AB70" s="97">
        <f t="shared" si="23"/>
        <v>-0.12586719044463685</v>
      </c>
      <c r="AC70" s="97">
        <f t="shared" si="23"/>
        <v>-8.2194486282948107E-2</v>
      </c>
      <c r="AD70" s="97">
        <f t="shared" si="23"/>
        <v>-0.1116238911899307</v>
      </c>
      <c r="AE70" s="97">
        <f t="shared" si="23"/>
        <v>-0.10196589104956989</v>
      </c>
      <c r="AF70" s="122">
        <f t="shared" si="23"/>
        <v>-5.2961352337677528E-2</v>
      </c>
    </row>
    <row r="71" spans="1:32">
      <c r="A71" s="30" t="s">
        <v>16</v>
      </c>
      <c r="B71" s="34">
        <v>25.965305058434613</v>
      </c>
      <c r="C71" s="66">
        <v>24.363632244155852</v>
      </c>
      <c r="D71" s="66">
        <v>22.602387689757201</v>
      </c>
      <c r="E71" s="66">
        <v>18.651934623238862</v>
      </c>
      <c r="F71" s="66">
        <v>20.256883602445342</v>
      </c>
      <c r="G71" s="66">
        <v>19.292983438864397</v>
      </c>
      <c r="H71" s="66">
        <v>18.600212611628034</v>
      </c>
      <c r="I71" s="100">
        <v>18.400174713041089</v>
      </c>
      <c r="J71" s="36">
        <v>168.13351398156539</v>
      </c>
      <c r="K71" s="65"/>
      <c r="L71" s="30" t="s">
        <v>16</v>
      </c>
      <c r="M71" s="101">
        <f t="shared" si="24"/>
        <v>0</v>
      </c>
      <c r="N71" s="66">
        <f t="shared" si="21"/>
        <v>0</v>
      </c>
      <c r="O71" s="66">
        <f t="shared" si="21"/>
        <v>0</v>
      </c>
      <c r="P71" s="66">
        <f t="shared" si="21"/>
        <v>0</v>
      </c>
      <c r="Q71" s="66">
        <f t="shared" si="21"/>
        <v>4.4231274940321832</v>
      </c>
      <c r="R71" s="66">
        <f t="shared" si="21"/>
        <v>10.530065193991792</v>
      </c>
      <c r="S71" s="66">
        <f t="shared" si="21"/>
        <v>7.7997873883719642</v>
      </c>
      <c r="T71" s="66">
        <f t="shared" si="21"/>
        <v>9.3998252869589081</v>
      </c>
      <c r="U71" s="44">
        <f t="shared" si="21"/>
        <v>32.152805363354844</v>
      </c>
      <c r="W71" s="30" t="s">
        <v>16</v>
      </c>
      <c r="X71" s="102">
        <f t="shared" si="25"/>
        <v>0</v>
      </c>
      <c r="Y71" s="103">
        <f t="shared" si="22"/>
        <v>0</v>
      </c>
      <c r="Z71" s="103">
        <f t="shared" si="22"/>
        <v>0</v>
      </c>
      <c r="AA71" s="103">
        <f t="shared" si="23"/>
        <v>0</v>
      </c>
      <c r="AB71" s="103">
        <f t="shared" si="23"/>
        <v>0.21835182453722735</v>
      </c>
      <c r="AC71" s="103">
        <f t="shared" si="23"/>
        <v>0.54579765889290588</v>
      </c>
      <c r="AD71" s="103">
        <f t="shared" si="23"/>
        <v>0.41933861462937688</v>
      </c>
      <c r="AE71" s="103">
        <f t="shared" si="23"/>
        <v>0.51085521923315214</v>
      </c>
      <c r="AF71" s="123">
        <f t="shared" si="23"/>
        <v>0.19123376774769701</v>
      </c>
    </row>
    <row r="72" spans="1:32">
      <c r="A72" s="30" t="s">
        <v>50</v>
      </c>
      <c r="B72" s="34">
        <v>0.10090020061565155</v>
      </c>
      <c r="C72" s="66">
        <v>3.4274244155844159E-2</v>
      </c>
      <c r="D72" s="66">
        <v>1.1494764267351925E-2</v>
      </c>
      <c r="E72" s="66">
        <v>0</v>
      </c>
      <c r="F72" s="66">
        <v>0</v>
      </c>
      <c r="G72" s="66">
        <v>0</v>
      </c>
      <c r="H72" s="66">
        <v>0</v>
      </c>
      <c r="I72" s="100">
        <v>0</v>
      </c>
      <c r="J72" s="36">
        <v>0.14666920903884764</v>
      </c>
      <c r="K72" s="65"/>
      <c r="L72" s="30" t="s">
        <v>50</v>
      </c>
      <c r="M72" s="124">
        <f t="shared" si="24"/>
        <v>0</v>
      </c>
      <c r="N72" s="125">
        <f t="shared" si="21"/>
        <v>0</v>
      </c>
      <c r="O72" s="125">
        <f t="shared" si="21"/>
        <v>0</v>
      </c>
      <c r="P72" s="125">
        <f t="shared" si="21"/>
        <v>0</v>
      </c>
      <c r="Q72" s="125">
        <f t="shared" si="21"/>
        <v>0.13777573999999998</v>
      </c>
      <c r="R72" s="125">
        <f t="shared" si="21"/>
        <v>0.13584661282653815</v>
      </c>
      <c r="S72" s="125">
        <f t="shared" si="21"/>
        <v>0.12615684473567201</v>
      </c>
      <c r="T72" s="125">
        <f t="shared" si="21"/>
        <v>0.12490656648978567</v>
      </c>
      <c r="U72" s="46">
        <f t="shared" si="21"/>
        <v>0.52468576405199585</v>
      </c>
      <c r="W72" s="30" t="s">
        <v>50</v>
      </c>
      <c r="X72" s="126">
        <f t="shared" si="25"/>
        <v>0</v>
      </c>
      <c r="Y72" s="127">
        <f t="shared" si="22"/>
        <v>0</v>
      </c>
      <c r="Z72" s="127">
        <f t="shared" si="22"/>
        <v>0</v>
      </c>
      <c r="AA72" s="127" t="e">
        <f t="shared" si="23"/>
        <v>#DIV/0!</v>
      </c>
      <c r="AB72" s="127" t="e">
        <f t="shared" si="23"/>
        <v>#DIV/0!</v>
      </c>
      <c r="AC72" s="127" t="e">
        <f t="shared" si="23"/>
        <v>#DIV/0!</v>
      </c>
      <c r="AD72" s="127" t="e">
        <f t="shared" si="23"/>
        <v>#DIV/0!</v>
      </c>
      <c r="AE72" s="127" t="e">
        <f t="shared" si="23"/>
        <v>#DIV/0!</v>
      </c>
      <c r="AF72" s="128">
        <f t="shared" si="23"/>
        <v>3.5773409258178011</v>
      </c>
    </row>
    <row r="73" spans="1:32">
      <c r="A73" s="40" t="s">
        <v>18</v>
      </c>
      <c r="B73" s="129">
        <v>96.429712345585017</v>
      </c>
      <c r="C73" s="130">
        <v>101.14436557402603</v>
      </c>
      <c r="D73" s="130">
        <v>91.180740766044792</v>
      </c>
      <c r="E73" s="130">
        <v>88.600688532726949</v>
      </c>
      <c r="F73" s="130">
        <v>96.224540293413583</v>
      </c>
      <c r="G73" s="130">
        <v>91.645807851167319</v>
      </c>
      <c r="H73" s="130">
        <v>88.3549978881057</v>
      </c>
      <c r="I73" s="131">
        <v>87.404774980645954</v>
      </c>
      <c r="J73" s="132">
        <v>740.98562823171551</v>
      </c>
      <c r="K73" s="65"/>
      <c r="L73" s="40" t="s">
        <v>18</v>
      </c>
      <c r="M73" s="118">
        <f t="shared" si="24"/>
        <v>0</v>
      </c>
      <c r="N73" s="117">
        <f t="shared" si="21"/>
        <v>0</v>
      </c>
      <c r="O73" s="41">
        <f t="shared" si="21"/>
        <v>0</v>
      </c>
      <c r="P73" s="133">
        <f t="shared" si="21"/>
        <v>0</v>
      </c>
      <c r="Q73" s="41">
        <f t="shared" si="21"/>
        <v>-5.0009322783227077</v>
      </c>
      <c r="R73" s="41">
        <f t="shared" si="21"/>
        <v>4.7189085731287435</v>
      </c>
      <c r="S73" s="41">
        <f t="shared" si="21"/>
        <v>0.13964367142911271</v>
      </c>
      <c r="T73" s="41">
        <f t="shared" si="21"/>
        <v>2.488616300642974</v>
      </c>
      <c r="U73" s="117">
        <f t="shared" si="21"/>
        <v>2.3462362668780088</v>
      </c>
      <c r="W73" s="40" t="s">
        <v>18</v>
      </c>
      <c r="X73" s="119">
        <f t="shared" si="25"/>
        <v>0</v>
      </c>
      <c r="Y73" s="121">
        <f t="shared" si="22"/>
        <v>0</v>
      </c>
      <c r="Z73" s="119">
        <f t="shared" si="22"/>
        <v>0</v>
      </c>
      <c r="AA73" s="134">
        <f t="shared" si="23"/>
        <v>0</v>
      </c>
      <c r="AB73" s="119">
        <f t="shared" si="23"/>
        <v>-5.1971485268451981E-2</v>
      </c>
      <c r="AC73" s="119">
        <f t="shared" si="23"/>
        <v>5.1490719365933739E-2</v>
      </c>
      <c r="AD73" s="119">
        <f t="shared" si="23"/>
        <v>1.5804841238970984E-3</v>
      </c>
      <c r="AE73" s="119">
        <f t="shared" si="23"/>
        <v>2.8472315170355721E-2</v>
      </c>
      <c r="AF73" s="121">
        <f t="shared" si="23"/>
        <v>3.166372163623545E-3</v>
      </c>
    </row>
    <row r="74" spans="1:32">
      <c r="A74" s="48" t="s">
        <v>19</v>
      </c>
      <c r="B74" s="34">
        <v>14.596016402740213</v>
      </c>
      <c r="C74" s="66">
        <v>16.977532628571435</v>
      </c>
      <c r="D74" s="66">
        <v>18.579867166902222</v>
      </c>
      <c r="E74" s="66">
        <v>18.9711361782913</v>
      </c>
      <c r="F74" s="66">
        <v>17.778692735649237</v>
      </c>
      <c r="G74" s="66">
        <v>16.741272738064403</v>
      </c>
      <c r="H74" s="66">
        <v>16.741272738064403</v>
      </c>
      <c r="I74" s="100">
        <v>16.741272738064403</v>
      </c>
      <c r="J74" s="36">
        <v>137.12706332634761</v>
      </c>
      <c r="K74" s="65"/>
      <c r="L74" s="48" t="s">
        <v>19</v>
      </c>
      <c r="M74" s="135">
        <f t="shared" si="24"/>
        <v>0</v>
      </c>
      <c r="N74" s="93">
        <f t="shared" si="21"/>
        <v>0</v>
      </c>
      <c r="O74" s="93">
        <f t="shared" si="21"/>
        <v>0</v>
      </c>
      <c r="P74" s="93">
        <f t="shared" si="21"/>
        <v>0</v>
      </c>
      <c r="Q74" s="93">
        <f t="shared" si="21"/>
        <v>-1.855291343367087</v>
      </c>
      <c r="R74" s="93">
        <f t="shared" si="21"/>
        <v>-0.98232189182607499</v>
      </c>
      <c r="S74" s="93">
        <f t="shared" si="21"/>
        <v>-0.98232189182607499</v>
      </c>
      <c r="T74" s="93">
        <f t="shared" si="21"/>
        <v>-1.982321891826075</v>
      </c>
      <c r="U74" s="50">
        <f t="shared" si="21"/>
        <v>-5.8022570188453244</v>
      </c>
      <c r="W74" s="48" t="s">
        <v>19</v>
      </c>
      <c r="X74" s="120">
        <f t="shared" si="25"/>
        <v>0</v>
      </c>
      <c r="Y74" s="97">
        <f t="shared" si="22"/>
        <v>0</v>
      </c>
      <c r="Z74" s="97">
        <f t="shared" si="22"/>
        <v>0</v>
      </c>
      <c r="AA74" s="97">
        <f t="shared" si="23"/>
        <v>0</v>
      </c>
      <c r="AB74" s="97">
        <f t="shared" si="23"/>
        <v>-0.10435476730226172</v>
      </c>
      <c r="AC74" s="97">
        <f t="shared" si="23"/>
        <v>-5.8676655424923764E-2</v>
      </c>
      <c r="AD74" s="97">
        <f t="shared" si="23"/>
        <v>-5.8676655424923764E-2</v>
      </c>
      <c r="AE74" s="97">
        <f t="shared" si="23"/>
        <v>-0.11840927048030804</v>
      </c>
      <c r="AF74" s="136">
        <f t="shared" si="23"/>
        <v>-4.2312996997803262E-2</v>
      </c>
    </row>
    <row r="75" spans="1:32">
      <c r="A75" s="48" t="s">
        <v>20</v>
      </c>
      <c r="B75" s="34">
        <v>10.714512538598553</v>
      </c>
      <c r="C75" s="66">
        <v>10.933483885714287</v>
      </c>
      <c r="D75" s="66">
        <v>10.918612483618146</v>
      </c>
      <c r="E75" s="66">
        <v>10.686846056420169</v>
      </c>
      <c r="F75" s="66">
        <v>11.459308171689548</v>
      </c>
      <c r="G75" s="66">
        <v>11.245094145715523</v>
      </c>
      <c r="H75" s="66">
        <v>11.030880119741497</v>
      </c>
      <c r="I75" s="100">
        <v>10.81666609376747</v>
      </c>
      <c r="J75" s="36">
        <v>87.805403495265182</v>
      </c>
      <c r="K75" s="65"/>
      <c r="L75" s="48" t="s">
        <v>20</v>
      </c>
      <c r="M75" s="101">
        <f t="shared" si="24"/>
        <v>0</v>
      </c>
      <c r="N75" s="66">
        <f t="shared" si="21"/>
        <v>0</v>
      </c>
      <c r="O75" s="66">
        <f t="shared" si="21"/>
        <v>0</v>
      </c>
      <c r="P75" s="66">
        <f t="shared" si="21"/>
        <v>0</v>
      </c>
      <c r="Q75" s="66">
        <f t="shared" si="21"/>
        <v>-0.56330274623936027</v>
      </c>
      <c r="R75" s="66">
        <f t="shared" si="21"/>
        <v>0</v>
      </c>
      <c r="S75" s="66">
        <f t="shared" si="21"/>
        <v>0</v>
      </c>
      <c r="T75" s="66">
        <f t="shared" si="21"/>
        <v>0</v>
      </c>
      <c r="U75" s="50">
        <f t="shared" si="21"/>
        <v>-0.5633027462393585</v>
      </c>
      <c r="W75" s="48" t="s">
        <v>20</v>
      </c>
      <c r="X75" s="102">
        <f t="shared" si="25"/>
        <v>0</v>
      </c>
      <c r="Y75" s="103">
        <f t="shared" si="22"/>
        <v>0</v>
      </c>
      <c r="Z75" s="103">
        <f t="shared" si="22"/>
        <v>0</v>
      </c>
      <c r="AA75" s="103">
        <f t="shared" si="23"/>
        <v>0</v>
      </c>
      <c r="AB75" s="103">
        <f t="shared" si="23"/>
        <v>-4.915678484247514E-2</v>
      </c>
      <c r="AC75" s="103">
        <f t="shared" si="23"/>
        <v>0</v>
      </c>
      <c r="AD75" s="103">
        <f t="shared" si="23"/>
        <v>0</v>
      </c>
      <c r="AE75" s="103">
        <f t="shared" si="23"/>
        <v>0</v>
      </c>
      <c r="AF75" s="136">
        <f t="shared" si="23"/>
        <v>-6.4153539966334081E-3</v>
      </c>
    </row>
    <row r="76" spans="1:32">
      <c r="A76" s="48" t="s">
        <v>21</v>
      </c>
      <c r="B76" s="34">
        <v>17.863293796939399</v>
      </c>
      <c r="C76" s="66">
        <v>16.046772685714288</v>
      </c>
      <c r="D76" s="66">
        <v>14.32220170114352</v>
      </c>
      <c r="E76" s="66">
        <v>13.88682673065326</v>
      </c>
      <c r="F76" s="66">
        <v>16.391941858696363</v>
      </c>
      <c r="G76" s="66">
        <v>16.230139121295</v>
      </c>
      <c r="H76" s="66">
        <v>16.069478601814481</v>
      </c>
      <c r="I76" s="100">
        <v>15.961229370906626</v>
      </c>
      <c r="J76" s="36">
        <v>126.77188386716293</v>
      </c>
      <c r="K76" s="65"/>
      <c r="L76" s="48" t="s">
        <v>21</v>
      </c>
      <c r="M76" s="101">
        <f t="shared" si="24"/>
        <v>0</v>
      </c>
      <c r="N76" s="66">
        <f t="shared" si="21"/>
        <v>0</v>
      </c>
      <c r="O76" s="66">
        <f t="shared" si="21"/>
        <v>0</v>
      </c>
      <c r="P76" s="66">
        <f t="shared" si="21"/>
        <v>0</v>
      </c>
      <c r="Q76" s="66">
        <f t="shared" si="21"/>
        <v>-1.6805284357759511</v>
      </c>
      <c r="R76" s="66">
        <f t="shared" si="21"/>
        <v>0</v>
      </c>
      <c r="S76" s="66">
        <f t="shared" si="21"/>
        <v>0</v>
      </c>
      <c r="T76" s="66">
        <f t="shared" si="21"/>
        <v>0</v>
      </c>
      <c r="U76" s="50">
        <f t="shared" si="21"/>
        <v>-1.6805284357759405</v>
      </c>
      <c r="W76" s="48" t="s">
        <v>21</v>
      </c>
      <c r="X76" s="102">
        <f t="shared" si="25"/>
        <v>0</v>
      </c>
      <c r="Y76" s="103">
        <f t="shared" si="22"/>
        <v>0</v>
      </c>
      <c r="Z76" s="103">
        <f t="shared" si="22"/>
        <v>0</v>
      </c>
      <c r="AA76" s="103">
        <f t="shared" si="23"/>
        <v>0</v>
      </c>
      <c r="AB76" s="103">
        <f t="shared" si="23"/>
        <v>-0.10252162009008017</v>
      </c>
      <c r="AC76" s="103">
        <f t="shared" si="23"/>
        <v>0</v>
      </c>
      <c r="AD76" s="103">
        <f t="shared" si="23"/>
        <v>0</v>
      </c>
      <c r="AE76" s="103">
        <f t="shared" si="23"/>
        <v>0</v>
      </c>
      <c r="AF76" s="136">
        <f t="shared" si="23"/>
        <v>-1.3256318234860901E-2</v>
      </c>
    </row>
    <row r="77" spans="1:32">
      <c r="A77" s="48" t="s">
        <v>22</v>
      </c>
      <c r="B77" s="34">
        <v>9.113481678584078</v>
      </c>
      <c r="C77" s="66">
        <v>10.030571766233768</v>
      </c>
      <c r="D77" s="66">
        <v>10.394217273832828</v>
      </c>
      <c r="E77" s="66">
        <v>10.487012205158996</v>
      </c>
      <c r="F77" s="66">
        <v>10.166715976331362</v>
      </c>
      <c r="G77" s="66">
        <v>9.9592319768143955</v>
      </c>
      <c r="H77" s="66">
        <v>9.7517479772974287</v>
      </c>
      <c r="I77" s="100">
        <v>9.5442639777804619</v>
      </c>
      <c r="J77" s="36">
        <v>79.447242832033325</v>
      </c>
      <c r="K77" s="65"/>
      <c r="L77" s="48" t="s">
        <v>22</v>
      </c>
      <c r="M77" s="101">
        <f t="shared" si="24"/>
        <v>0</v>
      </c>
      <c r="N77" s="66">
        <f t="shared" si="21"/>
        <v>0</v>
      </c>
      <c r="O77" s="66">
        <f t="shared" si="21"/>
        <v>0</v>
      </c>
      <c r="P77" s="66">
        <f t="shared" si="21"/>
        <v>0</v>
      </c>
      <c r="Q77" s="66">
        <f t="shared" si="21"/>
        <v>0.68760371610865789</v>
      </c>
      <c r="R77" s="66">
        <f t="shared" si="21"/>
        <v>0.54076802318560446</v>
      </c>
      <c r="S77" s="66">
        <f t="shared" si="21"/>
        <v>0.64825202270257165</v>
      </c>
      <c r="T77" s="66">
        <f t="shared" si="21"/>
        <v>0.75573602221953884</v>
      </c>
      <c r="U77" s="50">
        <f t="shared" si="21"/>
        <v>2.6323597842163622</v>
      </c>
      <c r="W77" s="48" t="s">
        <v>22</v>
      </c>
      <c r="X77" s="102">
        <f t="shared" si="25"/>
        <v>0</v>
      </c>
      <c r="Y77" s="103">
        <f t="shared" si="22"/>
        <v>0</v>
      </c>
      <c r="Z77" s="103">
        <f t="shared" si="22"/>
        <v>0</v>
      </c>
      <c r="AA77" s="103">
        <f t="shared" si="23"/>
        <v>0</v>
      </c>
      <c r="AB77" s="103">
        <f t="shared" si="23"/>
        <v>6.763282437607529E-2</v>
      </c>
      <c r="AC77" s="103">
        <f t="shared" si="23"/>
        <v>5.4298165204359157E-2</v>
      </c>
      <c r="AD77" s="103">
        <f t="shared" si="23"/>
        <v>6.6475469240154253E-2</v>
      </c>
      <c r="AE77" s="103">
        <f t="shared" si="23"/>
        <v>7.9182221277505654E-2</v>
      </c>
      <c r="AF77" s="136">
        <f t="shared" si="23"/>
        <v>3.3133431575236343E-2</v>
      </c>
    </row>
    <row r="78" spans="1:32">
      <c r="A78" s="48" t="s">
        <v>23</v>
      </c>
      <c r="B78" s="34">
        <v>0</v>
      </c>
      <c r="C78" s="66">
        <v>0</v>
      </c>
      <c r="D78" s="66">
        <v>0</v>
      </c>
      <c r="E78" s="66">
        <v>0</v>
      </c>
      <c r="F78" s="66">
        <v>0</v>
      </c>
      <c r="G78" s="66">
        <v>0</v>
      </c>
      <c r="H78" s="66">
        <v>0</v>
      </c>
      <c r="I78" s="100">
        <v>0</v>
      </c>
      <c r="J78" s="36">
        <v>0</v>
      </c>
      <c r="K78" s="65"/>
      <c r="L78" s="48" t="s">
        <v>23</v>
      </c>
      <c r="M78" s="101">
        <f t="shared" si="24"/>
        <v>0</v>
      </c>
      <c r="N78" s="66">
        <f t="shared" si="21"/>
        <v>0</v>
      </c>
      <c r="O78" s="66">
        <f t="shared" si="21"/>
        <v>0</v>
      </c>
      <c r="P78" s="66">
        <f t="shared" si="21"/>
        <v>0</v>
      </c>
      <c r="Q78" s="66">
        <f t="shared" si="21"/>
        <v>0</v>
      </c>
      <c r="R78" s="66">
        <f t="shared" si="21"/>
        <v>0</v>
      </c>
      <c r="S78" s="66">
        <f t="shared" si="21"/>
        <v>0</v>
      </c>
      <c r="T78" s="66">
        <f t="shared" si="21"/>
        <v>0</v>
      </c>
      <c r="U78" s="50">
        <f t="shared" si="21"/>
        <v>0</v>
      </c>
      <c r="W78" s="48" t="s">
        <v>23</v>
      </c>
      <c r="X78" s="102" t="e">
        <f t="shared" si="25"/>
        <v>#DIV/0!</v>
      </c>
      <c r="Y78" s="103" t="e">
        <f t="shared" si="22"/>
        <v>#DIV/0!</v>
      </c>
      <c r="Z78" s="103" t="e">
        <f t="shared" si="22"/>
        <v>#DIV/0!</v>
      </c>
      <c r="AA78" s="103" t="e">
        <f t="shared" si="23"/>
        <v>#DIV/0!</v>
      </c>
      <c r="AB78" s="103" t="e">
        <f t="shared" si="23"/>
        <v>#DIV/0!</v>
      </c>
      <c r="AC78" s="103" t="e">
        <f t="shared" si="23"/>
        <v>#DIV/0!</v>
      </c>
      <c r="AD78" s="103" t="e">
        <f t="shared" si="23"/>
        <v>#DIV/0!</v>
      </c>
      <c r="AE78" s="103" t="e">
        <f t="shared" si="23"/>
        <v>#DIV/0!</v>
      </c>
      <c r="AF78" s="136" t="e">
        <f t="shared" si="23"/>
        <v>#DIV/0!</v>
      </c>
    </row>
    <row r="79" spans="1:32">
      <c r="A79" s="48" t="s">
        <v>24</v>
      </c>
      <c r="B79" s="34">
        <v>7.4319680495671703</v>
      </c>
      <c r="C79" s="66">
        <v>7.3464700207792228</v>
      </c>
      <c r="D79" s="66">
        <v>7.030764152640371</v>
      </c>
      <c r="E79" s="66">
        <v>6.9594662961332991</v>
      </c>
      <c r="F79" s="66">
        <v>5.9696009836482613</v>
      </c>
      <c r="G79" s="66">
        <v>5.2561598154603733</v>
      </c>
      <c r="H79" s="66">
        <v>4.9720967781304859</v>
      </c>
      <c r="I79" s="100">
        <v>4.8122710300810301</v>
      </c>
      <c r="J79" s="36">
        <v>49.778797126440217</v>
      </c>
      <c r="K79" s="65"/>
      <c r="L79" s="48" t="s">
        <v>24</v>
      </c>
      <c r="M79" s="101">
        <f t="shared" si="24"/>
        <v>0</v>
      </c>
      <c r="N79" s="66">
        <f t="shared" si="21"/>
        <v>0</v>
      </c>
      <c r="O79" s="66">
        <f t="shared" si="21"/>
        <v>0</v>
      </c>
      <c r="P79" s="66">
        <f t="shared" si="21"/>
        <v>0</v>
      </c>
      <c r="Q79" s="66">
        <f t="shared" si="21"/>
        <v>5.7243347400326883E-2</v>
      </c>
      <c r="R79" s="66">
        <f t="shared" si="21"/>
        <v>0.2401325155882148</v>
      </c>
      <c r="S79" s="66">
        <f t="shared" si="21"/>
        <v>0.22419555291810234</v>
      </c>
      <c r="T79" s="66">
        <f t="shared" si="21"/>
        <v>0.28402130096755762</v>
      </c>
      <c r="U79" s="50">
        <f t="shared" si="21"/>
        <v>0.80559271687419454</v>
      </c>
      <c r="W79" s="48" t="s">
        <v>24</v>
      </c>
      <c r="X79" s="102">
        <f t="shared" si="25"/>
        <v>0</v>
      </c>
      <c r="Y79" s="103">
        <f t="shared" si="22"/>
        <v>0</v>
      </c>
      <c r="Z79" s="103">
        <f t="shared" si="22"/>
        <v>0</v>
      </c>
      <c r="AA79" s="103">
        <f t="shared" si="23"/>
        <v>0</v>
      </c>
      <c r="AB79" s="103">
        <f t="shared" si="23"/>
        <v>9.589141310638016E-3</v>
      </c>
      <c r="AC79" s="103">
        <f t="shared" si="23"/>
        <v>4.5685923567600317E-2</v>
      </c>
      <c r="AD79" s="103">
        <f t="shared" si="23"/>
        <v>4.5090746001609429E-2</v>
      </c>
      <c r="AE79" s="103">
        <f t="shared" si="23"/>
        <v>5.9020221261888321E-2</v>
      </c>
      <c r="AF79" s="136">
        <f t="shared" si="23"/>
        <v>1.6183450854144899E-2</v>
      </c>
    </row>
    <row r="80" spans="1:32">
      <c r="A80" s="37" t="s">
        <v>25</v>
      </c>
      <c r="B80" s="38">
        <v>4.1571566327220131</v>
      </c>
      <c r="C80" s="113">
        <v>4.5756115948051965</v>
      </c>
      <c r="D80" s="113">
        <v>4.5246967493254537</v>
      </c>
      <c r="E80" s="113">
        <v>3.9505773069828525</v>
      </c>
      <c r="F80" s="113">
        <v>3.4955399979622026</v>
      </c>
      <c r="G80" s="113">
        <v>2.7820988297743141</v>
      </c>
      <c r="H80" s="113">
        <v>2.4980357924444272</v>
      </c>
      <c r="I80" s="114">
        <v>2.3382100443949709</v>
      </c>
      <c r="J80" s="39">
        <v>28.321926948411427</v>
      </c>
      <c r="K80" s="65"/>
      <c r="L80" s="37" t="s">
        <v>25</v>
      </c>
      <c r="M80" s="108">
        <f t="shared" si="24"/>
        <v>0</v>
      </c>
      <c r="N80" s="113">
        <f t="shared" si="21"/>
        <v>0</v>
      </c>
      <c r="O80" s="113">
        <f t="shared" si="21"/>
        <v>0</v>
      </c>
      <c r="P80" s="113">
        <f t="shared" si="21"/>
        <v>0</v>
      </c>
      <c r="Q80" s="113">
        <f t="shared" si="21"/>
        <v>-0.16498799796220265</v>
      </c>
      <c r="R80" s="113">
        <f t="shared" si="21"/>
        <v>1.7901170225685714E-2</v>
      </c>
      <c r="S80" s="113">
        <f t="shared" si="21"/>
        <v>1.9642075555728056E-3</v>
      </c>
      <c r="T80" s="113">
        <f t="shared" si="21"/>
        <v>6.1789955605028979E-2</v>
      </c>
      <c r="U80" s="51">
        <f t="shared" si="21"/>
        <v>-8.3332664575909376E-2</v>
      </c>
      <c r="W80" s="37" t="s">
        <v>25</v>
      </c>
      <c r="X80" s="109">
        <f t="shared" si="25"/>
        <v>0</v>
      </c>
      <c r="Y80" s="115">
        <f t="shared" si="22"/>
        <v>0</v>
      </c>
      <c r="Z80" s="115">
        <f t="shared" si="22"/>
        <v>0</v>
      </c>
      <c r="AA80" s="115">
        <f t="shared" si="23"/>
        <v>0</v>
      </c>
      <c r="AB80" s="115">
        <f t="shared" si="23"/>
        <v>-4.7199573759243441E-2</v>
      </c>
      <c r="AC80" s="115">
        <f t="shared" si="23"/>
        <v>6.4344120467991674E-3</v>
      </c>
      <c r="AD80" s="115">
        <f t="shared" si="23"/>
        <v>7.863008054223076E-4</v>
      </c>
      <c r="AE80" s="115">
        <f t="shared" si="23"/>
        <v>2.6426178329508283E-2</v>
      </c>
      <c r="AF80" s="137">
        <f t="shared" si="23"/>
        <v>-2.9423373885435252E-3</v>
      </c>
    </row>
    <row r="81" spans="1:32">
      <c r="A81" s="52" t="s">
        <v>26</v>
      </c>
      <c r="B81" s="41">
        <v>59.719272466429423</v>
      </c>
      <c r="C81" s="41">
        <v>61.334830987013</v>
      </c>
      <c r="D81" s="117">
        <v>61.245662778137088</v>
      </c>
      <c r="E81" s="117">
        <v>60.991287466657027</v>
      </c>
      <c r="F81" s="117">
        <v>61.766259726014766</v>
      </c>
      <c r="G81" s="117">
        <v>59.431897797349698</v>
      </c>
      <c r="H81" s="117">
        <v>58.565476215048292</v>
      </c>
      <c r="I81" s="117">
        <v>57.875703210599987</v>
      </c>
      <c r="J81" s="41">
        <v>480.93039064724928</v>
      </c>
      <c r="K81" s="65"/>
      <c r="L81" s="52" t="s">
        <v>26</v>
      </c>
      <c r="M81" s="138">
        <f t="shared" si="24"/>
        <v>0</v>
      </c>
      <c r="N81" s="139">
        <f t="shared" si="21"/>
        <v>0</v>
      </c>
      <c r="O81" s="53">
        <f t="shared" si="21"/>
        <v>0</v>
      </c>
      <c r="P81" s="140">
        <f t="shared" si="21"/>
        <v>0</v>
      </c>
      <c r="Q81" s="53">
        <f t="shared" si="21"/>
        <v>-3.3542754618734136</v>
      </c>
      <c r="R81" s="53">
        <f t="shared" si="21"/>
        <v>-0.20142135305226105</v>
      </c>
      <c r="S81" s="53">
        <f t="shared" si="21"/>
        <v>-0.10987431620539923</v>
      </c>
      <c r="T81" s="53">
        <f t="shared" si="21"/>
        <v>-0.94256456863897853</v>
      </c>
      <c r="U81" s="53">
        <f t="shared" si="21"/>
        <v>-4.6081356997701164</v>
      </c>
      <c r="W81" s="52" t="s">
        <v>26</v>
      </c>
      <c r="X81" s="141">
        <f t="shared" si="25"/>
        <v>0</v>
      </c>
      <c r="Y81" s="142">
        <f t="shared" si="22"/>
        <v>0</v>
      </c>
      <c r="Z81" s="141">
        <f t="shared" si="22"/>
        <v>0</v>
      </c>
      <c r="AA81" s="143">
        <f t="shared" si="23"/>
        <v>0</v>
      </c>
      <c r="AB81" s="141">
        <f t="shared" si="23"/>
        <v>-5.4305950801496514E-2</v>
      </c>
      <c r="AC81" s="141">
        <f t="shared" si="23"/>
        <v>-3.3891119166186753E-3</v>
      </c>
      <c r="AD81" s="141">
        <f t="shared" si="23"/>
        <v>-1.8760936187379148E-3</v>
      </c>
      <c r="AE81" s="141">
        <f t="shared" si="23"/>
        <v>-1.6286014965712709E-2</v>
      </c>
      <c r="AF81" s="141">
        <f t="shared" si="23"/>
        <v>-9.581710345999056E-3</v>
      </c>
    </row>
    <row r="82" spans="1:32">
      <c r="A82" s="48" t="s">
        <v>27</v>
      </c>
      <c r="B82" s="34">
        <v>25.709068136390176</v>
      </c>
      <c r="C82" s="66">
        <v>26.304411319480529</v>
      </c>
      <c r="D82" s="66">
        <v>21.86689510985482</v>
      </c>
      <c r="E82" s="66">
        <v>22.435952977411986</v>
      </c>
      <c r="F82" s="66">
        <v>22.266189592103263</v>
      </c>
      <c r="G82" s="66">
        <v>22.058705592586296</v>
      </c>
      <c r="H82" s="66">
        <v>21.818857667957101</v>
      </c>
      <c r="I82" s="100">
        <v>21.611373668440134</v>
      </c>
      <c r="J82" s="36">
        <v>184.07145406422427</v>
      </c>
      <c r="K82" s="65"/>
      <c r="L82" s="48" t="s">
        <v>27</v>
      </c>
      <c r="M82" s="144">
        <f t="shared" si="24"/>
        <v>0</v>
      </c>
      <c r="N82" s="93">
        <f t="shared" si="21"/>
        <v>0</v>
      </c>
      <c r="O82" s="93">
        <f t="shared" si="21"/>
        <v>0</v>
      </c>
      <c r="P82" s="93">
        <f t="shared" si="21"/>
        <v>0</v>
      </c>
      <c r="Q82" s="93">
        <f t="shared" si="21"/>
        <v>0.84339181166016886</v>
      </c>
      <c r="R82" s="93">
        <f t="shared" si="21"/>
        <v>0.7734677511123742</v>
      </c>
      <c r="S82" s="93">
        <f t="shared" si="21"/>
        <v>0.60244066078274727</v>
      </c>
      <c r="T82" s="93">
        <f t="shared" si="21"/>
        <v>0.40992466029971197</v>
      </c>
      <c r="U82" s="55">
        <f t="shared" si="21"/>
        <v>2.6292248838550449</v>
      </c>
      <c r="W82" s="48" t="s">
        <v>27</v>
      </c>
      <c r="X82" s="102">
        <f t="shared" si="25"/>
        <v>0</v>
      </c>
      <c r="Y82" s="97">
        <f t="shared" si="22"/>
        <v>0</v>
      </c>
      <c r="Z82" s="97">
        <f t="shared" si="22"/>
        <v>0</v>
      </c>
      <c r="AA82" s="97">
        <f t="shared" si="23"/>
        <v>0</v>
      </c>
      <c r="AB82" s="97">
        <f t="shared" si="23"/>
        <v>3.7877689317766298E-2</v>
      </c>
      <c r="AC82" s="97">
        <f t="shared" si="23"/>
        <v>3.5064058852679401E-2</v>
      </c>
      <c r="AD82" s="97">
        <f t="shared" si="23"/>
        <v>2.7611008328244611E-2</v>
      </c>
      <c r="AE82" s="97">
        <f t="shared" si="23"/>
        <v>1.8968005763480907E-2</v>
      </c>
      <c r="AF82" s="136">
        <f t="shared" si="23"/>
        <v>1.428371877226375E-2</v>
      </c>
    </row>
    <row r="83" spans="1:32">
      <c r="A83" s="48" t="s">
        <v>28</v>
      </c>
      <c r="B83" s="34">
        <v>2.6432645877655463</v>
      </c>
      <c r="C83" s="66">
        <v>2.5619997506493504</v>
      </c>
      <c r="D83" s="66">
        <v>1.8997757201704184</v>
      </c>
      <c r="E83" s="66">
        <v>2.0307198979937984</v>
      </c>
      <c r="F83" s="66">
        <v>2.5705683116883127</v>
      </c>
      <c r="G83" s="66">
        <v>2.5705683116883127</v>
      </c>
      <c r="H83" s="66">
        <v>2.5705683116883127</v>
      </c>
      <c r="I83" s="100">
        <v>2.5705683116883127</v>
      </c>
      <c r="J83" s="36">
        <v>19.418033203332367</v>
      </c>
      <c r="K83" s="65"/>
      <c r="L83" s="48" t="s">
        <v>28</v>
      </c>
      <c r="M83" s="144">
        <f t="shared" si="24"/>
        <v>0</v>
      </c>
      <c r="N83" s="66">
        <f t="shared" si="21"/>
        <v>0</v>
      </c>
      <c r="O83" s="66">
        <f t="shared" si="21"/>
        <v>0</v>
      </c>
      <c r="P83" s="66">
        <f t="shared" si="21"/>
        <v>0</v>
      </c>
      <c r="Q83" s="66">
        <f t="shared" si="21"/>
        <v>-0.8309273402603119</v>
      </c>
      <c r="R83" s="66">
        <f t="shared" si="21"/>
        <v>-7.0568311688312679E-2</v>
      </c>
      <c r="S83" s="66">
        <f t="shared" si="21"/>
        <v>-7.0568311688312679E-2</v>
      </c>
      <c r="T83" s="66">
        <f t="shared" si="21"/>
        <v>-7.0568311688312679E-2</v>
      </c>
      <c r="U83" s="55">
        <f t="shared" si="21"/>
        <v>-1.0426322753252535</v>
      </c>
      <c r="W83" s="48" t="s">
        <v>28</v>
      </c>
      <c r="X83" s="102">
        <f t="shared" si="25"/>
        <v>0</v>
      </c>
      <c r="Y83" s="103">
        <f t="shared" si="22"/>
        <v>0</v>
      </c>
      <c r="Z83" s="103">
        <f t="shared" si="22"/>
        <v>0</v>
      </c>
      <c r="AA83" s="103">
        <f t="shared" si="23"/>
        <v>0</v>
      </c>
      <c r="AB83" s="103">
        <f t="shared" si="23"/>
        <v>-0.32324655076548836</v>
      </c>
      <c r="AC83" s="103">
        <f t="shared" si="23"/>
        <v>-2.7452416404357066E-2</v>
      </c>
      <c r="AD83" s="103">
        <f t="shared" si="23"/>
        <v>-2.7452416404357066E-2</v>
      </c>
      <c r="AE83" s="103">
        <f t="shared" si="23"/>
        <v>-2.7452416404357066E-2</v>
      </c>
      <c r="AF83" s="136">
        <f t="shared" si="23"/>
        <v>-5.3694020625442401E-2</v>
      </c>
    </row>
    <row r="84" spans="1:32">
      <c r="A84" s="56" t="s">
        <v>29</v>
      </c>
      <c r="B84" s="34">
        <v>28.352332724155723</v>
      </c>
      <c r="C84" s="140">
        <v>28.866411070129878</v>
      </c>
      <c r="D84" s="140">
        <v>23.766670830025241</v>
      </c>
      <c r="E84" s="140">
        <v>24.466672875405784</v>
      </c>
      <c r="F84" s="140">
        <v>24.836757903791575</v>
      </c>
      <c r="G84" s="140">
        <v>24.629273904274608</v>
      </c>
      <c r="H84" s="140">
        <v>24.389425979645413</v>
      </c>
      <c r="I84" s="140">
        <v>24.181941980128446</v>
      </c>
      <c r="J84" s="49">
        <v>203.48948726755668</v>
      </c>
      <c r="K84" s="65"/>
      <c r="L84" s="56" t="s">
        <v>29</v>
      </c>
      <c r="M84" s="101">
        <f t="shared" si="24"/>
        <v>0</v>
      </c>
      <c r="N84" s="140">
        <f t="shared" si="21"/>
        <v>0</v>
      </c>
      <c r="O84" s="140">
        <f t="shared" si="21"/>
        <v>0</v>
      </c>
      <c r="P84" s="140">
        <f t="shared" si="21"/>
        <v>0</v>
      </c>
      <c r="Q84" s="140">
        <f t="shared" si="21"/>
        <v>1.2464471399855626E-2</v>
      </c>
      <c r="R84" s="140">
        <f t="shared" si="21"/>
        <v>0.70289943942406197</v>
      </c>
      <c r="S84" s="140">
        <f t="shared" si="21"/>
        <v>0.53187234909443504</v>
      </c>
      <c r="T84" s="140">
        <f t="shared" si="21"/>
        <v>0.33935634861139974</v>
      </c>
      <c r="U84" s="49">
        <f t="shared" si="21"/>
        <v>1.5865926085297417</v>
      </c>
      <c r="W84" s="56" t="s">
        <v>29</v>
      </c>
      <c r="X84" s="102">
        <f t="shared" si="25"/>
        <v>0</v>
      </c>
      <c r="Y84" s="143">
        <f t="shared" si="22"/>
        <v>0</v>
      </c>
      <c r="Z84" s="143">
        <f t="shared" si="22"/>
        <v>0</v>
      </c>
      <c r="AA84" s="143">
        <f t="shared" si="23"/>
        <v>0</v>
      </c>
      <c r="AB84" s="143">
        <f t="shared" si="23"/>
        <v>5.0185581580890638E-4</v>
      </c>
      <c r="AC84" s="143">
        <f t="shared" si="23"/>
        <v>2.8539186423277713E-2</v>
      </c>
      <c r="AD84" s="143">
        <f t="shared" si="23"/>
        <v>2.1807497623696336E-2</v>
      </c>
      <c r="AE84" s="143">
        <f t="shared" si="23"/>
        <v>1.4033461369242653E-2</v>
      </c>
      <c r="AF84" s="120">
        <f t="shared" si="23"/>
        <v>7.7969266610988207E-3</v>
      </c>
    </row>
    <row r="85" spans="1:32">
      <c r="A85" s="57" t="s">
        <v>30</v>
      </c>
      <c r="B85" s="53">
        <v>88.071605190585146</v>
      </c>
      <c r="C85" s="53">
        <v>90.201242057142892</v>
      </c>
      <c r="D85" s="53">
        <v>85.012333608162322</v>
      </c>
      <c r="E85" s="53">
        <v>85.457960342062805</v>
      </c>
      <c r="F85" s="53">
        <v>86.603017629806331</v>
      </c>
      <c r="G85" s="53">
        <v>84.061171701624303</v>
      </c>
      <c r="H85" s="53">
        <v>82.954902194693716</v>
      </c>
      <c r="I85" s="53">
        <v>82.057645190728437</v>
      </c>
      <c r="J85" s="53">
        <v>684.41987791480597</v>
      </c>
      <c r="K85" s="65"/>
      <c r="L85" s="57" t="s">
        <v>30</v>
      </c>
      <c r="M85" s="138">
        <f t="shared" si="24"/>
        <v>0</v>
      </c>
      <c r="N85" s="140">
        <f t="shared" si="21"/>
        <v>0</v>
      </c>
      <c r="O85" s="53">
        <f t="shared" si="21"/>
        <v>0</v>
      </c>
      <c r="P85" s="53">
        <f t="shared" si="21"/>
        <v>0</v>
      </c>
      <c r="Q85" s="53">
        <f t="shared" si="21"/>
        <v>-3.3418109904735473</v>
      </c>
      <c r="R85" s="53">
        <f t="shared" si="21"/>
        <v>0.50147808637180447</v>
      </c>
      <c r="S85" s="53">
        <f t="shared" si="21"/>
        <v>0.4219980328890216</v>
      </c>
      <c r="T85" s="53">
        <f t="shared" si="21"/>
        <v>-0.60320822002758234</v>
      </c>
      <c r="U85" s="53">
        <f t="shared" si="21"/>
        <v>-3.0215430912403463</v>
      </c>
      <c r="W85" s="57" t="s">
        <v>30</v>
      </c>
      <c r="X85" s="141">
        <f t="shared" si="25"/>
        <v>0</v>
      </c>
      <c r="Y85" s="143">
        <f t="shared" si="22"/>
        <v>0</v>
      </c>
      <c r="Z85" s="141">
        <f t="shared" si="22"/>
        <v>0</v>
      </c>
      <c r="AA85" s="141">
        <f t="shared" si="23"/>
        <v>0</v>
      </c>
      <c r="AB85" s="141">
        <f t="shared" si="23"/>
        <v>-3.8587696848607154E-2</v>
      </c>
      <c r="AC85" s="141">
        <f t="shared" si="23"/>
        <v>5.9656328388070093E-3</v>
      </c>
      <c r="AD85" s="141">
        <f t="shared" si="23"/>
        <v>5.0870776979351929E-3</v>
      </c>
      <c r="AE85" s="141">
        <f t="shared" si="23"/>
        <v>-7.3510301036001195E-3</v>
      </c>
      <c r="AF85" s="141">
        <f t="shared" si="23"/>
        <v>-4.4147506358902929E-3</v>
      </c>
    </row>
    <row r="86" spans="1:32">
      <c r="A86" s="145" t="s">
        <v>51</v>
      </c>
      <c r="B86" s="146">
        <v>1.9668599785248916E-2</v>
      </c>
      <c r="C86" s="147">
        <v>6.9619558441558455E-2</v>
      </c>
      <c r="D86" s="147">
        <v>6.9619558441558455E-2</v>
      </c>
      <c r="E86" s="147">
        <v>0.25327944254815243</v>
      </c>
      <c r="F86" s="147">
        <v>0</v>
      </c>
      <c r="G86" s="147">
        <v>0</v>
      </c>
      <c r="H86" s="147">
        <v>0</v>
      </c>
      <c r="I86" s="148">
        <v>0</v>
      </c>
      <c r="J86" s="149">
        <v>0</v>
      </c>
      <c r="K86" s="150"/>
      <c r="L86" s="145" t="s">
        <v>51</v>
      </c>
      <c r="M86" s="151"/>
      <c r="N86" s="152"/>
      <c r="O86" s="59"/>
      <c r="P86" s="59"/>
      <c r="Q86" s="59"/>
      <c r="R86" s="59"/>
      <c r="S86" s="59"/>
      <c r="T86" s="59"/>
      <c r="U86" s="59"/>
      <c r="V86" s="153"/>
      <c r="W86" s="145" t="s">
        <v>51</v>
      </c>
      <c r="X86" s="154">
        <f t="shared" si="25"/>
        <v>0</v>
      </c>
      <c r="Y86" s="155">
        <f t="shared" si="25"/>
        <v>0</v>
      </c>
      <c r="Z86" s="155">
        <f t="shared" si="25"/>
        <v>0</v>
      </c>
      <c r="AA86" s="155">
        <f t="shared" si="25"/>
        <v>0</v>
      </c>
      <c r="AB86" s="155" t="e">
        <f t="shared" si="25"/>
        <v>#DIV/0!</v>
      </c>
      <c r="AC86" s="155" t="e">
        <f t="shared" si="25"/>
        <v>#DIV/0!</v>
      </c>
      <c r="AD86" s="155" t="e">
        <f t="shared" si="25"/>
        <v>#DIV/0!</v>
      </c>
      <c r="AE86" s="155" t="e">
        <f t="shared" si="25"/>
        <v>#DIV/0!</v>
      </c>
      <c r="AF86" s="156" t="e">
        <f t="shared" si="25"/>
        <v>#DIV/0!</v>
      </c>
    </row>
    <row r="87" spans="1:32">
      <c r="A87" s="60" t="s">
        <v>32</v>
      </c>
      <c r="B87" s="86">
        <v>228.46011426153964</v>
      </c>
      <c r="C87" s="86">
        <v>243.37819454025984</v>
      </c>
      <c r="D87" s="86">
        <v>240.83917653195053</v>
      </c>
      <c r="E87" s="86">
        <v>235.243328556275</v>
      </c>
      <c r="F87" s="86">
        <v>235.46877561407689</v>
      </c>
      <c r="G87" s="86">
        <v>227.62200324533922</v>
      </c>
      <c r="H87" s="86">
        <v>226.12969976858454</v>
      </c>
      <c r="I87" s="86">
        <v>216.6053118750317</v>
      </c>
      <c r="J87" s="86">
        <v>1853.7466043930572</v>
      </c>
      <c r="K87" s="65"/>
      <c r="L87" s="60" t="s">
        <v>32</v>
      </c>
      <c r="M87" s="157">
        <f t="shared" ref="M87:U87" si="26">B37-B87</f>
        <v>0</v>
      </c>
      <c r="N87" s="61">
        <f t="shared" si="26"/>
        <v>0</v>
      </c>
      <c r="O87" s="61">
        <f t="shared" si="26"/>
        <v>0</v>
      </c>
      <c r="P87" s="61">
        <f t="shared" si="26"/>
        <v>0</v>
      </c>
      <c r="Q87" s="61">
        <f t="shared" si="26"/>
        <v>-8.5840307796532613</v>
      </c>
      <c r="R87" s="61">
        <f t="shared" si="26"/>
        <v>16.020185094141567</v>
      </c>
      <c r="S87" s="61">
        <f t="shared" si="26"/>
        <v>7.5809882949503162</v>
      </c>
      <c r="T87" s="61">
        <f t="shared" si="26"/>
        <v>12.678786188289962</v>
      </c>
      <c r="U87" s="61">
        <f t="shared" si="26"/>
        <v>27.695928797728811</v>
      </c>
      <c r="W87" s="60" t="s">
        <v>32</v>
      </c>
      <c r="X87" s="158">
        <f t="shared" si="25"/>
        <v>0</v>
      </c>
      <c r="Y87" s="158">
        <f t="shared" si="22"/>
        <v>0</v>
      </c>
      <c r="Z87" s="158">
        <f t="shared" si="22"/>
        <v>0</v>
      </c>
      <c r="AA87" s="158">
        <f t="shared" si="23"/>
        <v>0</v>
      </c>
      <c r="AB87" s="158">
        <f t="shared" si="23"/>
        <v>-3.6455070347510173E-2</v>
      </c>
      <c r="AC87" s="158">
        <f t="shared" si="23"/>
        <v>7.0380652422579876E-2</v>
      </c>
      <c r="AD87" s="158">
        <f t="shared" si="23"/>
        <v>3.3524956264959931E-2</v>
      </c>
      <c r="AE87" s="158">
        <f t="shared" si="23"/>
        <v>5.8534050151110156E-2</v>
      </c>
      <c r="AF87" s="158">
        <f t="shared" si="23"/>
        <v>1.4940514918325015E-2</v>
      </c>
    </row>
    <row r="88" spans="1:32">
      <c r="A88" s="62" t="s">
        <v>33</v>
      </c>
      <c r="B88" s="34">
        <v>0</v>
      </c>
      <c r="C88" s="66">
        <v>0</v>
      </c>
      <c r="D88" s="66">
        <v>0</v>
      </c>
      <c r="E88" s="66">
        <v>0</v>
      </c>
      <c r="F88" s="66">
        <v>0</v>
      </c>
      <c r="G88" s="66">
        <v>0</v>
      </c>
      <c r="H88" s="66">
        <v>0</v>
      </c>
      <c r="I88" s="100">
        <v>0</v>
      </c>
      <c r="J88" s="36">
        <v>0</v>
      </c>
      <c r="K88" s="65"/>
      <c r="L88" s="62" t="s">
        <v>33</v>
      </c>
      <c r="M88" s="159"/>
      <c r="N88" s="160"/>
      <c r="O88" s="161"/>
      <c r="P88" s="160"/>
      <c r="Q88" s="160"/>
      <c r="R88" s="160"/>
      <c r="S88" s="160"/>
      <c r="T88" s="160"/>
      <c r="U88" s="64"/>
      <c r="W88" s="62" t="s">
        <v>33</v>
      </c>
      <c r="X88" s="162" t="e">
        <f t="shared" si="25"/>
        <v>#DIV/0!</v>
      </c>
      <c r="Y88" s="162" t="e">
        <f t="shared" si="22"/>
        <v>#DIV/0!</v>
      </c>
      <c r="Z88" s="163" t="e">
        <f t="shared" si="22"/>
        <v>#DIV/0!</v>
      </c>
      <c r="AA88" s="162" t="e">
        <f t="shared" si="23"/>
        <v>#DIV/0!</v>
      </c>
      <c r="AB88" s="162" t="e">
        <f t="shared" si="23"/>
        <v>#DIV/0!</v>
      </c>
      <c r="AC88" s="162" t="e">
        <f t="shared" si="23"/>
        <v>#DIV/0!</v>
      </c>
      <c r="AD88" s="162" t="e">
        <f t="shared" si="23"/>
        <v>#DIV/0!</v>
      </c>
      <c r="AE88" s="162" t="e">
        <f t="shared" si="23"/>
        <v>#DIV/0!</v>
      </c>
      <c r="AF88" s="164" t="e">
        <f t="shared" si="23"/>
        <v>#DIV/0!</v>
      </c>
    </row>
    <row r="89" spans="1:32">
      <c r="A89" s="165" t="s">
        <v>34</v>
      </c>
      <c r="B89" s="31">
        <v>50.253313065041951</v>
      </c>
      <c r="C89" s="93">
        <v>51.645930592207797</v>
      </c>
      <c r="D89" s="93">
        <v>53.041216151988401</v>
      </c>
      <c r="E89" s="93">
        <v>72.400000000000006</v>
      </c>
      <c r="F89" s="93">
        <v>55.685275820862181</v>
      </c>
      <c r="G89" s="93">
        <v>55.667610888815851</v>
      </c>
      <c r="H89" s="93">
        <v>55.724111610038378</v>
      </c>
      <c r="I89" s="94">
        <v>55.784514594654766</v>
      </c>
      <c r="J89" s="33">
        <v>448.4104356804508</v>
      </c>
      <c r="K89" s="65"/>
      <c r="L89" s="48" t="s">
        <v>34</v>
      </c>
      <c r="M89" s="135">
        <f t="shared" ref="M89:U94" si="27">B39-B89</f>
        <v>0</v>
      </c>
      <c r="N89" s="66">
        <f t="shared" si="27"/>
        <v>0</v>
      </c>
      <c r="O89" s="66">
        <f t="shared" si="27"/>
        <v>0</v>
      </c>
      <c r="P89" s="66">
        <f t="shared" si="27"/>
        <v>0</v>
      </c>
      <c r="Q89" s="66">
        <f t="shared" si="27"/>
        <v>3.065758419137822</v>
      </c>
      <c r="R89" s="66">
        <f t="shared" si="27"/>
        <v>-3.4310589371774753</v>
      </c>
      <c r="S89" s="66">
        <f t="shared" si="27"/>
        <v>-3.6285054603312759</v>
      </c>
      <c r="T89" s="166">
        <f t="shared" si="27"/>
        <v>-3.8525546463537381</v>
      </c>
      <c r="U89" s="67">
        <f t="shared" si="27"/>
        <v>-6.0548235815660973</v>
      </c>
      <c r="W89" s="48" t="s">
        <v>34</v>
      </c>
      <c r="X89" s="120">
        <f t="shared" si="25"/>
        <v>0</v>
      </c>
      <c r="Y89" s="103">
        <f t="shared" si="22"/>
        <v>0</v>
      </c>
      <c r="Z89" s="103">
        <f t="shared" si="22"/>
        <v>0</v>
      </c>
      <c r="AA89" s="103">
        <f t="shared" si="23"/>
        <v>0</v>
      </c>
      <c r="AB89" s="103">
        <f t="shared" si="23"/>
        <v>5.5055099825675149E-2</v>
      </c>
      <c r="AC89" s="103">
        <f t="shared" si="23"/>
        <v>-6.1634743837494337E-2</v>
      </c>
      <c r="AD89" s="103">
        <f t="shared" si="23"/>
        <v>-6.5115537161432674E-2</v>
      </c>
      <c r="AE89" s="167">
        <f t="shared" si="23"/>
        <v>-6.9061363612239579E-2</v>
      </c>
      <c r="AF89" s="136">
        <f t="shared" si="23"/>
        <v>-1.3502860548680284E-2</v>
      </c>
    </row>
    <row r="90" spans="1:32">
      <c r="A90" s="165" t="s">
        <v>35</v>
      </c>
      <c r="B90" s="34">
        <v>7.2719184072543452</v>
      </c>
      <c r="C90" s="66">
        <v>9.2840358857142888</v>
      </c>
      <c r="D90" s="66">
        <v>7.941284078504685</v>
      </c>
      <c r="E90" s="66">
        <v>7.6330316104791089</v>
      </c>
      <c r="F90" s="66">
        <v>7.7984354506858367</v>
      </c>
      <c r="G90" s="66">
        <v>4.9132830036616761</v>
      </c>
      <c r="H90" s="66">
        <v>9.9272526726067731</v>
      </c>
      <c r="I90" s="100">
        <v>7.9092208971748148</v>
      </c>
      <c r="J90" s="36">
        <v>62.678462006081539</v>
      </c>
      <c r="K90" s="65"/>
      <c r="L90" s="48" t="s">
        <v>35</v>
      </c>
      <c r="M90" s="101">
        <f t="shared" si="27"/>
        <v>0</v>
      </c>
      <c r="N90" s="66">
        <f t="shared" si="27"/>
        <v>0</v>
      </c>
      <c r="O90" s="66">
        <f t="shared" si="27"/>
        <v>0</v>
      </c>
      <c r="P90" s="66">
        <f t="shared" si="27"/>
        <v>0</v>
      </c>
      <c r="Q90" s="66">
        <f t="shared" si="27"/>
        <v>-0.15205381068583712</v>
      </c>
      <c r="R90" s="66">
        <f t="shared" si="27"/>
        <v>-1.0632830036616761</v>
      </c>
      <c r="S90" s="66">
        <f t="shared" si="27"/>
        <v>1.1027473273932262</v>
      </c>
      <c r="T90" s="166">
        <f t="shared" si="27"/>
        <v>11.320779102825185</v>
      </c>
      <c r="U90" s="67">
        <f t="shared" si="27"/>
        <v>11.2081896158709</v>
      </c>
      <c r="W90" s="48" t="s">
        <v>35</v>
      </c>
      <c r="X90" s="102">
        <f t="shared" si="25"/>
        <v>0</v>
      </c>
      <c r="Y90" s="103">
        <f t="shared" si="22"/>
        <v>0</v>
      </c>
      <c r="Z90" s="103">
        <f t="shared" si="22"/>
        <v>0</v>
      </c>
      <c r="AA90" s="103">
        <f t="shared" si="23"/>
        <v>0</v>
      </c>
      <c r="AB90" s="103">
        <f t="shared" si="23"/>
        <v>-1.9497989263021299E-2</v>
      </c>
      <c r="AC90" s="103">
        <f t="shared" si="23"/>
        <v>-0.21640988375171002</v>
      </c>
      <c r="AD90" s="103">
        <f t="shared" si="23"/>
        <v>0.11108283064418652</v>
      </c>
      <c r="AE90" s="167">
        <f t="shared" si="23"/>
        <v>1.4313393506140388</v>
      </c>
      <c r="AF90" s="136">
        <f t="shared" si="23"/>
        <v>0.17882043140725751</v>
      </c>
    </row>
    <row r="91" spans="1:32">
      <c r="A91" s="165" t="s">
        <v>36</v>
      </c>
      <c r="B91" s="34">
        <v>9.3944886346068621</v>
      </c>
      <c r="C91" s="66">
        <v>6.7343826028007312</v>
      </c>
      <c r="D91" s="66">
        <v>5.3</v>
      </c>
      <c r="E91" s="66">
        <v>4.860712724060531</v>
      </c>
      <c r="F91" s="66">
        <v>5.2725103560356521</v>
      </c>
      <c r="G91" s="66">
        <v>5.1465884933793165</v>
      </c>
      <c r="H91" s="66">
        <v>4.8456987720213283</v>
      </c>
      <c r="I91" s="100">
        <v>4.4785958395828587</v>
      </c>
      <c r="J91" s="36">
        <v>47.044699716463001</v>
      </c>
      <c r="K91" s="65"/>
      <c r="L91" s="48" t="s">
        <v>36</v>
      </c>
      <c r="M91" s="101">
        <f t="shared" si="27"/>
        <v>0</v>
      </c>
      <c r="N91" s="66">
        <f t="shared" si="27"/>
        <v>0</v>
      </c>
      <c r="O91" s="66">
        <f t="shared" si="27"/>
        <v>0</v>
      </c>
      <c r="P91" s="66">
        <f t="shared" si="27"/>
        <v>0</v>
      </c>
      <c r="Q91" s="66">
        <f t="shared" si="27"/>
        <v>-0.20693191278565326</v>
      </c>
      <c r="R91" s="66">
        <f t="shared" si="27"/>
        <v>0.330012922983558</v>
      </c>
      <c r="S91" s="66">
        <f t="shared" si="27"/>
        <v>0.74853340149585268</v>
      </c>
      <c r="T91" s="166">
        <f t="shared" si="27"/>
        <v>0.64667962004322099</v>
      </c>
      <c r="U91" s="67">
        <f t="shared" si="27"/>
        <v>0.50657173776126285</v>
      </c>
      <c r="W91" s="48" t="s">
        <v>36</v>
      </c>
      <c r="X91" s="102">
        <f t="shared" si="25"/>
        <v>0</v>
      </c>
      <c r="Y91" s="103">
        <f t="shared" si="22"/>
        <v>0</v>
      </c>
      <c r="Z91" s="103">
        <f t="shared" si="22"/>
        <v>0</v>
      </c>
      <c r="AA91" s="103">
        <f t="shared" si="23"/>
        <v>0</v>
      </c>
      <c r="AB91" s="103">
        <f t="shared" si="23"/>
        <v>-3.9247322207488902E-2</v>
      </c>
      <c r="AC91" s="103">
        <f t="shared" si="23"/>
        <v>6.4122655892946134E-2</v>
      </c>
      <c r="AD91" s="103">
        <f t="shared" si="23"/>
        <v>0.15447377905903351</v>
      </c>
      <c r="AE91" s="167">
        <f t="shared" si="23"/>
        <v>0.14439338650023251</v>
      </c>
      <c r="AF91" s="136">
        <f t="shared" si="23"/>
        <v>1.0767881202651002E-2</v>
      </c>
    </row>
    <row r="92" spans="1:32">
      <c r="A92" s="168" t="s">
        <v>37</v>
      </c>
      <c r="B92" s="34">
        <v>5.207343845112268</v>
      </c>
      <c r="C92" s="125">
        <v>5.2921575116883126</v>
      </c>
      <c r="D92" s="125">
        <v>7.3571984104433898</v>
      </c>
      <c r="E92" s="125">
        <v>7.2661066560237302</v>
      </c>
      <c r="F92" s="125">
        <v>7.2638833911582577</v>
      </c>
      <c r="G92" s="125">
        <v>7.2586184358131316</v>
      </c>
      <c r="H92" s="125">
        <v>7.2586184358131325</v>
      </c>
      <c r="I92" s="169">
        <v>7.2586184358131307</v>
      </c>
      <c r="J92" s="170">
        <v>54.162545121865357</v>
      </c>
      <c r="K92" s="65"/>
      <c r="L92" s="68" t="s">
        <v>37</v>
      </c>
      <c r="M92" s="101">
        <f t="shared" si="27"/>
        <v>0</v>
      </c>
      <c r="N92" s="125">
        <f t="shared" si="27"/>
        <v>0</v>
      </c>
      <c r="O92" s="125">
        <f t="shared" si="27"/>
        <v>0</v>
      </c>
      <c r="P92" s="125">
        <f t="shared" si="27"/>
        <v>0</v>
      </c>
      <c r="Q92" s="125">
        <f t="shared" si="27"/>
        <v>-4.2914811158257571E-2</v>
      </c>
      <c r="R92" s="125">
        <f t="shared" si="27"/>
        <v>-6.6634435813131887E-2</v>
      </c>
      <c r="S92" s="125">
        <f t="shared" si="27"/>
        <v>-6.6634435813132775E-2</v>
      </c>
      <c r="T92" s="171">
        <f t="shared" si="27"/>
        <v>-5.7033815662189014E-2</v>
      </c>
      <c r="U92" s="69">
        <f t="shared" si="27"/>
        <v>-0.23321749844672013</v>
      </c>
      <c r="W92" s="68" t="s">
        <v>37</v>
      </c>
      <c r="X92" s="102">
        <f t="shared" si="25"/>
        <v>0</v>
      </c>
      <c r="Y92" s="127">
        <f t="shared" si="22"/>
        <v>0</v>
      </c>
      <c r="Z92" s="127">
        <f t="shared" si="22"/>
        <v>0</v>
      </c>
      <c r="AA92" s="127">
        <f t="shared" si="23"/>
        <v>0</v>
      </c>
      <c r="AB92" s="127">
        <f t="shared" si="23"/>
        <v>-5.907970825976409E-3</v>
      </c>
      <c r="AC92" s="127">
        <f t="shared" si="23"/>
        <v>-9.1800438888433328E-3</v>
      </c>
      <c r="AD92" s="127">
        <f t="shared" si="23"/>
        <v>-9.1800438888434543E-3</v>
      </c>
      <c r="AE92" s="172">
        <f t="shared" si="23"/>
        <v>-7.8573927210157761E-3</v>
      </c>
      <c r="AF92" s="173">
        <f t="shared" si="23"/>
        <v>-4.305881452246794E-3</v>
      </c>
    </row>
    <row r="93" spans="1:32">
      <c r="A93" s="70" t="s">
        <v>38</v>
      </c>
      <c r="B93" s="71">
        <v>72.127063952015419</v>
      </c>
      <c r="C93" s="71">
        <v>72.956506592411131</v>
      </c>
      <c r="D93" s="174">
        <v>74.651420934912196</v>
      </c>
      <c r="E93" s="71">
        <v>90.3683139474049</v>
      </c>
      <c r="F93" s="71">
        <v>76.020105018741944</v>
      </c>
      <c r="G93" s="71">
        <v>72.986100821669979</v>
      </c>
      <c r="H93" s="71">
        <v>77.755681490479617</v>
      </c>
      <c r="I93" s="71">
        <v>75.430949767225584</v>
      </c>
      <c r="J93" s="71">
        <v>612.29614252486067</v>
      </c>
      <c r="K93" s="65"/>
      <c r="L93" s="70" t="s">
        <v>38</v>
      </c>
      <c r="M93" s="175">
        <f t="shared" si="27"/>
        <v>0</v>
      </c>
      <c r="N93" s="72">
        <f t="shared" si="27"/>
        <v>0</v>
      </c>
      <c r="O93" s="174">
        <f t="shared" si="27"/>
        <v>-1.0117222939757227</v>
      </c>
      <c r="P93" s="71">
        <f t="shared" si="27"/>
        <v>1.7915370431584705</v>
      </c>
      <c r="Q93" s="71">
        <f t="shared" si="27"/>
        <v>2.6638578845080616</v>
      </c>
      <c r="R93" s="71">
        <f t="shared" si="27"/>
        <v>-4.2309634536687213</v>
      </c>
      <c r="S93" s="71">
        <f t="shared" si="27"/>
        <v>-1.8438591672553315</v>
      </c>
      <c r="T93" s="71">
        <f t="shared" si="27"/>
        <v>8.0578702608524679</v>
      </c>
      <c r="U93" s="72">
        <f t="shared" si="27"/>
        <v>5.4267202736193667</v>
      </c>
      <c r="W93" s="70" t="s">
        <v>38</v>
      </c>
      <c r="X93" s="164">
        <f t="shared" si="25"/>
        <v>0</v>
      </c>
      <c r="Y93" s="176">
        <f t="shared" si="22"/>
        <v>0</v>
      </c>
      <c r="Z93" s="177">
        <f t="shared" si="22"/>
        <v>-1.3552619378241077E-2</v>
      </c>
      <c r="AA93" s="178">
        <f t="shared" si="23"/>
        <v>1.9824836437704923E-2</v>
      </c>
      <c r="AB93" s="178">
        <f t="shared" si="23"/>
        <v>3.5041491771832148E-2</v>
      </c>
      <c r="AC93" s="178">
        <f t="shared" si="23"/>
        <v>-5.7969440839241611E-2</v>
      </c>
      <c r="AD93" s="178">
        <f t="shared" si="23"/>
        <v>-2.3713497610860668E-2</v>
      </c>
      <c r="AE93" s="178">
        <f t="shared" si="23"/>
        <v>0.10682445714548827</v>
      </c>
      <c r="AF93" s="176">
        <f t="shared" si="23"/>
        <v>8.8629012935501697E-3</v>
      </c>
    </row>
    <row r="94" spans="1:32" ht="25.5">
      <c r="A94" s="70" t="s">
        <v>39</v>
      </c>
      <c r="B94" s="64">
        <v>300.58717821355509</v>
      </c>
      <c r="C94" s="64">
        <v>316.33470113267094</v>
      </c>
      <c r="D94" s="64">
        <v>315.49059746686271</v>
      </c>
      <c r="E94" s="64">
        <v>325.61164250367989</v>
      </c>
      <c r="F94" s="64">
        <v>311.48888063281885</v>
      </c>
      <c r="G94" s="64">
        <v>300.60810406700921</v>
      </c>
      <c r="H94" s="64">
        <v>303.88538125906422</v>
      </c>
      <c r="I94" s="64">
        <v>292.03626164225727</v>
      </c>
      <c r="J94" s="64">
        <v>2466.0427469179181</v>
      </c>
      <c r="K94" s="65"/>
      <c r="L94" s="70" t="s">
        <v>39</v>
      </c>
      <c r="M94" s="175">
        <f t="shared" si="27"/>
        <v>0</v>
      </c>
      <c r="N94" s="64">
        <f t="shared" si="27"/>
        <v>0</v>
      </c>
      <c r="O94" s="64">
        <f t="shared" si="27"/>
        <v>-1.0117222939757085</v>
      </c>
      <c r="P94" s="64">
        <f t="shared" si="27"/>
        <v>1.7915370431584847</v>
      </c>
      <c r="Q94" s="64">
        <f t="shared" si="27"/>
        <v>-5.9201728951451855</v>
      </c>
      <c r="R94" s="64">
        <f t="shared" si="27"/>
        <v>11.789221640472817</v>
      </c>
      <c r="S94" s="64">
        <f t="shared" si="27"/>
        <v>5.7371291276949137</v>
      </c>
      <c r="T94" s="64">
        <f t="shared" si="27"/>
        <v>20.736656449142458</v>
      </c>
      <c r="U94" s="64">
        <f t="shared" si="27"/>
        <v>33.122649071347951</v>
      </c>
      <c r="W94" s="70" t="s">
        <v>39</v>
      </c>
      <c r="X94" s="164">
        <f t="shared" si="25"/>
        <v>0</v>
      </c>
      <c r="Y94" s="164">
        <f t="shared" si="22"/>
        <v>0</v>
      </c>
      <c r="Z94" s="164">
        <f t="shared" si="22"/>
        <v>-3.2068223335307922E-3</v>
      </c>
      <c r="AA94" s="164">
        <f t="shared" si="23"/>
        <v>5.5020669082440372E-3</v>
      </c>
      <c r="AB94" s="164">
        <f t="shared" si="23"/>
        <v>-1.9006048893680568E-2</v>
      </c>
      <c r="AC94" s="164">
        <f t="shared" si="23"/>
        <v>3.9217910232536034E-2</v>
      </c>
      <c r="AD94" s="164">
        <f t="shared" si="23"/>
        <v>1.8879253434057015E-2</v>
      </c>
      <c r="AE94" s="164">
        <f t="shared" si="23"/>
        <v>7.1007128815204268E-2</v>
      </c>
      <c r="AF94" s="164">
        <f t="shared" si="23"/>
        <v>1.3431498343954065E-2</v>
      </c>
    </row>
    <row r="95" spans="1:32">
      <c r="B95" s="73"/>
      <c r="C95" s="73"/>
      <c r="D95" s="73"/>
      <c r="E95" s="73"/>
      <c r="F95" s="73"/>
      <c r="G95" s="73"/>
      <c r="H95" s="73"/>
      <c r="I95" s="73"/>
      <c r="J95" s="73"/>
      <c r="K95" s="65"/>
      <c r="M95" s="73"/>
      <c r="N95" s="65"/>
      <c r="O95" s="87"/>
      <c r="P95" s="65"/>
      <c r="Q95" s="65"/>
      <c r="R95" s="65"/>
      <c r="S95" s="65"/>
      <c r="T95" s="65"/>
      <c r="U95" s="65"/>
      <c r="X95" s="73"/>
      <c r="Y95" s="65"/>
      <c r="Z95" s="87"/>
      <c r="AA95" s="65"/>
      <c r="AB95" s="65"/>
      <c r="AC95" s="65"/>
      <c r="AD95" s="65"/>
      <c r="AE95" s="65"/>
      <c r="AF95" s="65"/>
    </row>
    <row r="96" spans="1:32">
      <c r="A96" s="179" t="s">
        <v>40</v>
      </c>
      <c r="B96" s="180"/>
      <c r="C96" s="181"/>
      <c r="D96" s="181"/>
      <c r="E96" s="181"/>
      <c r="F96" s="181"/>
      <c r="G96" s="181"/>
      <c r="H96" s="181"/>
      <c r="I96" s="181"/>
      <c r="J96" s="182"/>
      <c r="K96" s="65"/>
      <c r="L96" s="179" t="s">
        <v>40</v>
      </c>
      <c r="M96" s="75"/>
      <c r="N96" s="181"/>
      <c r="O96" s="181"/>
      <c r="P96" s="181"/>
      <c r="Q96" s="181"/>
      <c r="R96" s="181"/>
      <c r="S96" s="181"/>
      <c r="T96" s="181"/>
      <c r="U96" s="182"/>
      <c r="W96" s="179" t="s">
        <v>40</v>
      </c>
      <c r="X96" s="75"/>
      <c r="Y96" s="181"/>
      <c r="Z96" s="181"/>
      <c r="AA96" s="181"/>
      <c r="AB96" s="181"/>
      <c r="AC96" s="181"/>
      <c r="AD96" s="181"/>
      <c r="AE96" s="181"/>
      <c r="AF96" s="182"/>
    </row>
    <row r="97" spans="1:32">
      <c r="A97" s="183" t="s">
        <v>41</v>
      </c>
      <c r="B97" s="184">
        <v>0</v>
      </c>
      <c r="C97" s="184">
        <v>0</v>
      </c>
      <c r="D97" s="184">
        <v>0</v>
      </c>
      <c r="E97" s="184">
        <v>0</v>
      </c>
      <c r="F97" s="184">
        <v>0</v>
      </c>
      <c r="G97" s="184">
        <v>0</v>
      </c>
      <c r="H97" s="184">
        <v>0</v>
      </c>
      <c r="I97" s="184">
        <v>0</v>
      </c>
      <c r="J97" s="185">
        <v>0</v>
      </c>
      <c r="K97" s="65"/>
      <c r="L97" s="183" t="s">
        <v>41</v>
      </c>
      <c r="M97" s="184">
        <f t="shared" ref="M97:U102" si="28">B47-B97</f>
        <v>0</v>
      </c>
      <c r="N97" s="184">
        <f t="shared" si="28"/>
        <v>0</v>
      </c>
      <c r="O97" s="184">
        <f t="shared" si="28"/>
        <v>0</v>
      </c>
      <c r="P97" s="184" t="s">
        <v>52</v>
      </c>
      <c r="Q97" s="184">
        <f>G47-F97</f>
        <v>0</v>
      </c>
      <c r="R97" s="184">
        <f t="shared" si="28"/>
        <v>0</v>
      </c>
      <c r="S97" s="184">
        <f t="shared" si="28"/>
        <v>0</v>
      </c>
      <c r="T97" s="184">
        <f t="shared" si="28"/>
        <v>0</v>
      </c>
      <c r="U97" s="185">
        <f t="shared" si="28"/>
        <v>0</v>
      </c>
      <c r="W97" s="183" t="s">
        <v>41</v>
      </c>
      <c r="X97" s="184" t="e">
        <f t="shared" ref="X97:AF102" si="29">M97/B97</f>
        <v>#DIV/0!</v>
      </c>
      <c r="Y97" s="184" t="e">
        <f t="shared" si="29"/>
        <v>#DIV/0!</v>
      </c>
      <c r="Z97" s="184" t="e">
        <f t="shared" si="29"/>
        <v>#DIV/0!</v>
      </c>
      <c r="AA97" s="184" t="e">
        <f t="shared" si="29"/>
        <v>#VALUE!</v>
      </c>
      <c r="AB97" s="184" t="e">
        <f t="shared" si="29"/>
        <v>#DIV/0!</v>
      </c>
      <c r="AC97" s="184" t="e">
        <f t="shared" si="29"/>
        <v>#DIV/0!</v>
      </c>
      <c r="AD97" s="184" t="e">
        <f t="shared" si="29"/>
        <v>#DIV/0!</v>
      </c>
      <c r="AE97" s="184" t="e">
        <f t="shared" si="29"/>
        <v>#DIV/0!</v>
      </c>
      <c r="AF97" s="185" t="e">
        <f t="shared" si="29"/>
        <v>#DIV/0!</v>
      </c>
    </row>
    <row r="98" spans="1:32">
      <c r="A98" s="183" t="s">
        <v>42</v>
      </c>
      <c r="B98" s="186">
        <v>1.2401639944336329</v>
      </c>
      <c r="C98" s="186">
        <v>2.4420398961038958</v>
      </c>
      <c r="D98" s="186">
        <v>2.4420398961038958</v>
      </c>
      <c r="E98" s="186">
        <v>2.4316501772679926</v>
      </c>
      <c r="F98" s="186">
        <v>2.4316501772679926</v>
      </c>
      <c r="G98" s="186">
        <v>2.4316501772679926</v>
      </c>
      <c r="H98" s="186">
        <v>2.4316501772679926</v>
      </c>
      <c r="I98" s="186">
        <v>2.4316501772679926</v>
      </c>
      <c r="J98" s="187">
        <v>18.282494672981386</v>
      </c>
      <c r="K98" s="65"/>
      <c r="L98" s="183" t="s">
        <v>42</v>
      </c>
      <c r="M98" s="186">
        <f t="shared" si="28"/>
        <v>0</v>
      </c>
      <c r="N98" s="186">
        <f t="shared" si="28"/>
        <v>0</v>
      </c>
      <c r="O98" s="186">
        <f t="shared" si="28"/>
        <v>0</v>
      </c>
      <c r="P98" s="186">
        <f>F48-E98</f>
        <v>-0.43079026726799352</v>
      </c>
      <c r="Q98" s="186">
        <f>G48-F98</f>
        <v>-0.43079026726799352</v>
      </c>
      <c r="R98" s="186">
        <f t="shared" si="28"/>
        <v>-0.43079026726799352</v>
      </c>
      <c r="S98" s="186">
        <f t="shared" si="28"/>
        <v>-0.43079026726799352</v>
      </c>
      <c r="T98" s="186">
        <f t="shared" si="28"/>
        <v>-0.43079026726799352</v>
      </c>
      <c r="U98" s="187">
        <f t="shared" si="28"/>
        <v>-1.7231610690719741</v>
      </c>
      <c r="W98" s="183" t="s">
        <v>42</v>
      </c>
      <c r="X98" s="186">
        <f t="shared" si="29"/>
        <v>0</v>
      </c>
      <c r="Y98" s="186">
        <f t="shared" si="29"/>
        <v>0</v>
      </c>
      <c r="Z98" s="186">
        <f t="shared" si="29"/>
        <v>0</v>
      </c>
      <c r="AA98" s="186">
        <f t="shared" si="29"/>
        <v>-0.17715963887206629</v>
      </c>
      <c r="AB98" s="186">
        <f t="shared" si="29"/>
        <v>-0.17715963887206629</v>
      </c>
      <c r="AC98" s="186">
        <f t="shared" si="29"/>
        <v>-0.17715963887206629</v>
      </c>
      <c r="AD98" s="186">
        <f t="shared" si="29"/>
        <v>-0.17715963887206629</v>
      </c>
      <c r="AE98" s="186">
        <f t="shared" si="29"/>
        <v>-0.17715963887206629</v>
      </c>
      <c r="AF98" s="187">
        <f t="shared" si="29"/>
        <v>-9.4251966150906724E-2</v>
      </c>
    </row>
    <row r="99" spans="1:32">
      <c r="A99" s="183" t="s">
        <v>43</v>
      </c>
      <c r="B99" s="186">
        <v>0</v>
      </c>
      <c r="C99" s="186">
        <v>0</v>
      </c>
      <c r="D99" s="186">
        <v>0</v>
      </c>
      <c r="E99" s="186">
        <v>0</v>
      </c>
      <c r="F99" s="186">
        <v>0</v>
      </c>
      <c r="G99" s="186">
        <v>3.1122599927544985</v>
      </c>
      <c r="H99" s="186">
        <v>0</v>
      </c>
      <c r="I99" s="186">
        <v>0</v>
      </c>
      <c r="J99" s="187">
        <v>3.1122599927544985</v>
      </c>
      <c r="K99" s="65"/>
      <c r="L99" s="183" t="s">
        <v>43</v>
      </c>
      <c r="M99" s="186">
        <f t="shared" si="28"/>
        <v>0</v>
      </c>
      <c r="N99" s="186">
        <f t="shared" si="28"/>
        <v>0</v>
      </c>
      <c r="O99" s="186">
        <f t="shared" si="28"/>
        <v>1.5277411916904651E-2</v>
      </c>
      <c r="P99" s="186">
        <f>F49-E99</f>
        <v>0.30157821000000007</v>
      </c>
      <c r="Q99" s="186">
        <f>G49-F99</f>
        <v>-1.243E-3</v>
      </c>
      <c r="R99" s="186">
        <f t="shared" si="28"/>
        <v>-3.1135029927544986</v>
      </c>
      <c r="S99" s="186">
        <f t="shared" si="28"/>
        <v>6.2041939209999999</v>
      </c>
      <c r="T99" s="186">
        <f t="shared" si="28"/>
        <v>0</v>
      </c>
      <c r="U99" s="187">
        <f t="shared" si="28"/>
        <v>3.4256633301624064</v>
      </c>
      <c r="W99" s="183" t="s">
        <v>43</v>
      </c>
      <c r="X99" s="186" t="e">
        <f t="shared" si="29"/>
        <v>#DIV/0!</v>
      </c>
      <c r="Y99" s="186" t="e">
        <f t="shared" si="29"/>
        <v>#DIV/0!</v>
      </c>
      <c r="Z99" s="186" t="e">
        <f t="shared" si="29"/>
        <v>#DIV/0!</v>
      </c>
      <c r="AA99" s="186" t="e">
        <f t="shared" si="29"/>
        <v>#DIV/0!</v>
      </c>
      <c r="AB99" s="186" t="e">
        <f t="shared" si="29"/>
        <v>#DIV/0!</v>
      </c>
      <c r="AC99" s="186">
        <f t="shared" si="29"/>
        <v>-1.0003993882268492</v>
      </c>
      <c r="AD99" s="186" t="e">
        <f t="shared" si="29"/>
        <v>#DIV/0!</v>
      </c>
      <c r="AE99" s="186" t="e">
        <f t="shared" si="29"/>
        <v>#DIV/0!</v>
      </c>
      <c r="AF99" s="187">
        <f t="shared" si="29"/>
        <v>1.100699600334653</v>
      </c>
    </row>
    <row r="100" spans="1:32">
      <c r="A100" s="165" t="s">
        <v>23</v>
      </c>
      <c r="B100" s="186">
        <v>0</v>
      </c>
      <c r="C100" s="186">
        <v>0</v>
      </c>
      <c r="D100" s="186">
        <v>0</v>
      </c>
      <c r="E100" s="186">
        <v>0</v>
      </c>
      <c r="F100" s="186">
        <v>0</v>
      </c>
      <c r="G100" s="186">
        <v>0</v>
      </c>
      <c r="H100" s="186">
        <v>0</v>
      </c>
      <c r="I100" s="186">
        <v>0</v>
      </c>
      <c r="J100" s="187">
        <v>0</v>
      </c>
      <c r="K100" s="65"/>
      <c r="L100" s="165" t="s">
        <v>23</v>
      </c>
      <c r="M100" s="186">
        <f t="shared" si="28"/>
        <v>0</v>
      </c>
      <c r="N100" s="186">
        <f t="shared" si="28"/>
        <v>0</v>
      </c>
      <c r="O100" s="186">
        <f t="shared" si="28"/>
        <v>0</v>
      </c>
      <c r="P100" s="186">
        <f>F50-E100</f>
        <v>0</v>
      </c>
      <c r="Q100" s="186">
        <f>G50-F100</f>
        <v>0</v>
      </c>
      <c r="R100" s="186">
        <f t="shared" si="28"/>
        <v>0</v>
      </c>
      <c r="S100" s="186">
        <f t="shared" si="28"/>
        <v>0</v>
      </c>
      <c r="T100" s="186">
        <f t="shared" si="28"/>
        <v>0</v>
      </c>
      <c r="U100" s="187">
        <f t="shared" si="28"/>
        <v>0</v>
      </c>
      <c r="W100" s="165" t="s">
        <v>23</v>
      </c>
      <c r="X100" s="186" t="e">
        <f t="shared" si="29"/>
        <v>#DIV/0!</v>
      </c>
      <c r="Y100" s="186" t="e">
        <f t="shared" si="29"/>
        <v>#DIV/0!</v>
      </c>
      <c r="Z100" s="186" t="e">
        <f t="shared" si="29"/>
        <v>#DIV/0!</v>
      </c>
      <c r="AA100" s="186" t="e">
        <f t="shared" si="29"/>
        <v>#DIV/0!</v>
      </c>
      <c r="AB100" s="186" t="e">
        <f t="shared" si="29"/>
        <v>#DIV/0!</v>
      </c>
      <c r="AC100" s="186" t="e">
        <f t="shared" si="29"/>
        <v>#DIV/0!</v>
      </c>
      <c r="AD100" s="186" t="e">
        <f t="shared" si="29"/>
        <v>#DIV/0!</v>
      </c>
      <c r="AE100" s="186" t="e">
        <f t="shared" si="29"/>
        <v>#DIV/0!</v>
      </c>
      <c r="AF100" s="187" t="e">
        <f t="shared" si="29"/>
        <v>#DIV/0!</v>
      </c>
    </row>
    <row r="101" spans="1:32">
      <c r="A101" s="165" t="s">
        <v>44</v>
      </c>
      <c r="B101" s="188">
        <v>0</v>
      </c>
      <c r="C101" s="188">
        <v>0</v>
      </c>
      <c r="D101" s="188">
        <v>0</v>
      </c>
      <c r="E101" s="188">
        <v>0</v>
      </c>
      <c r="F101" s="188">
        <v>0</v>
      </c>
      <c r="G101" s="188">
        <v>0</v>
      </c>
      <c r="H101" s="188">
        <v>0</v>
      </c>
      <c r="I101" s="188">
        <v>0</v>
      </c>
      <c r="J101" s="189">
        <v>0</v>
      </c>
      <c r="K101" s="65"/>
      <c r="L101" s="165" t="s">
        <v>44</v>
      </c>
      <c r="M101" s="186">
        <f t="shared" si="28"/>
        <v>0</v>
      </c>
      <c r="N101" s="186">
        <f t="shared" si="28"/>
        <v>0</v>
      </c>
      <c r="O101" s="186">
        <f t="shared" si="28"/>
        <v>0</v>
      </c>
      <c r="P101" s="186">
        <f>F51-E101</f>
        <v>0</v>
      </c>
      <c r="Q101" s="186">
        <f>G51-F101</f>
        <v>0</v>
      </c>
      <c r="R101" s="186">
        <f t="shared" si="28"/>
        <v>0</v>
      </c>
      <c r="S101" s="186">
        <f t="shared" si="28"/>
        <v>0</v>
      </c>
      <c r="T101" s="186">
        <f t="shared" si="28"/>
        <v>0</v>
      </c>
      <c r="U101" s="187">
        <f t="shared" si="28"/>
        <v>0</v>
      </c>
      <c r="W101" s="165" t="s">
        <v>44</v>
      </c>
      <c r="X101" s="186" t="e">
        <f t="shared" si="29"/>
        <v>#DIV/0!</v>
      </c>
      <c r="Y101" s="186" t="e">
        <f t="shared" si="29"/>
        <v>#DIV/0!</v>
      </c>
      <c r="Z101" s="186" t="e">
        <f t="shared" si="29"/>
        <v>#DIV/0!</v>
      </c>
      <c r="AA101" s="186" t="e">
        <f t="shared" si="29"/>
        <v>#DIV/0!</v>
      </c>
      <c r="AB101" s="186" t="e">
        <f t="shared" si="29"/>
        <v>#DIV/0!</v>
      </c>
      <c r="AC101" s="186" t="e">
        <f t="shared" si="29"/>
        <v>#DIV/0!</v>
      </c>
      <c r="AD101" s="186" t="e">
        <f t="shared" si="29"/>
        <v>#DIV/0!</v>
      </c>
      <c r="AE101" s="186" t="e">
        <f t="shared" si="29"/>
        <v>#DIV/0!</v>
      </c>
      <c r="AF101" s="187" t="e">
        <f t="shared" si="29"/>
        <v>#DIV/0!</v>
      </c>
    </row>
    <row r="102" spans="1:32">
      <c r="A102" s="190" t="s">
        <v>45</v>
      </c>
      <c r="B102" s="191">
        <f t="shared" ref="B102:J102" si="30">SUM(B97:B101)</f>
        <v>1.2401639944336329</v>
      </c>
      <c r="C102" s="191">
        <f t="shared" si="30"/>
        <v>2.4420398961038958</v>
      </c>
      <c r="D102" s="191">
        <f t="shared" si="30"/>
        <v>2.4420398961038958</v>
      </c>
      <c r="E102" s="191">
        <f t="shared" si="30"/>
        <v>2.4316501772679926</v>
      </c>
      <c r="F102" s="191">
        <f t="shared" si="30"/>
        <v>2.4316501772679926</v>
      </c>
      <c r="G102" s="191">
        <f t="shared" si="30"/>
        <v>5.5439101700224906</v>
      </c>
      <c r="H102" s="191">
        <f t="shared" si="30"/>
        <v>2.4316501772679926</v>
      </c>
      <c r="I102" s="191">
        <f t="shared" si="30"/>
        <v>2.4316501772679926</v>
      </c>
      <c r="J102" s="191">
        <f t="shared" si="30"/>
        <v>21.394754665735885</v>
      </c>
      <c r="K102" s="65"/>
      <c r="L102" s="190" t="s">
        <v>45</v>
      </c>
      <c r="M102" s="192">
        <f t="shared" si="28"/>
        <v>0</v>
      </c>
      <c r="N102" s="193">
        <f t="shared" si="28"/>
        <v>0</v>
      </c>
      <c r="O102" s="194">
        <f t="shared" si="28"/>
        <v>1.5277411916904793E-2</v>
      </c>
      <c r="P102" s="193">
        <f t="shared" si="28"/>
        <v>1.8116780000000166E-2</v>
      </c>
      <c r="Q102" s="193">
        <f t="shared" si="28"/>
        <v>-0.12921205726799334</v>
      </c>
      <c r="R102" s="193">
        <f t="shared" si="28"/>
        <v>-3.5442932600224917</v>
      </c>
      <c r="S102" s="193">
        <f t="shared" si="28"/>
        <v>5.7734036537320064</v>
      </c>
      <c r="T102" s="193">
        <f t="shared" si="28"/>
        <v>-0.43079026726799352</v>
      </c>
      <c r="U102" s="193">
        <f t="shared" si="28"/>
        <v>1.7025022610904337</v>
      </c>
      <c r="W102" s="190" t="s">
        <v>45</v>
      </c>
      <c r="X102" s="192">
        <f t="shared" si="29"/>
        <v>0</v>
      </c>
      <c r="Y102" s="193">
        <f t="shared" si="29"/>
        <v>0</v>
      </c>
      <c r="Z102" s="194">
        <f t="shared" si="29"/>
        <v>6.2560042287920182E-3</v>
      </c>
      <c r="AA102" s="193">
        <f t="shared" si="29"/>
        <v>7.4504055597153073E-3</v>
      </c>
      <c r="AB102" s="193">
        <f t="shared" si="29"/>
        <v>-5.3137601154934905E-2</v>
      </c>
      <c r="AC102" s="193">
        <f t="shared" si="29"/>
        <v>-0.63931289492883558</v>
      </c>
      <c r="AD102" s="193">
        <f t="shared" si="29"/>
        <v>2.3742739427340411</v>
      </c>
      <c r="AE102" s="193">
        <f t="shared" si="29"/>
        <v>-0.17715963887206629</v>
      </c>
      <c r="AF102" s="193">
        <f t="shared" si="29"/>
        <v>7.9575685147585451E-2</v>
      </c>
    </row>
    <row r="103" spans="1:32">
      <c r="A103" s="82"/>
      <c r="B103" s="84"/>
      <c r="C103" s="84"/>
      <c r="D103" s="85"/>
      <c r="E103" s="84"/>
      <c r="F103" s="84"/>
      <c r="G103" s="84"/>
      <c r="H103" s="84"/>
      <c r="I103" s="84"/>
      <c r="J103" s="84"/>
      <c r="K103" s="65"/>
      <c r="L103" s="82"/>
      <c r="M103" s="83"/>
      <c r="N103" s="84"/>
      <c r="O103" s="85"/>
      <c r="P103" s="84"/>
      <c r="Q103" s="84"/>
      <c r="R103" s="84"/>
      <c r="S103" s="84"/>
      <c r="T103" s="84"/>
      <c r="U103" s="84"/>
      <c r="W103" s="82"/>
      <c r="X103" s="83"/>
      <c r="Y103" s="84"/>
      <c r="Z103" s="85"/>
      <c r="AA103" s="84"/>
      <c r="AB103" s="84"/>
      <c r="AC103" s="84"/>
      <c r="AD103" s="84"/>
      <c r="AE103" s="84"/>
      <c r="AF103" s="84"/>
    </row>
    <row r="104" spans="1:32" ht="25.5">
      <c r="A104" s="195" t="s">
        <v>46</v>
      </c>
      <c r="B104" s="196">
        <f t="shared" ref="B104:I104" si="31">+B94-B102</f>
        <v>299.34701421912143</v>
      </c>
      <c r="C104" s="196">
        <f t="shared" si="31"/>
        <v>313.89266123656705</v>
      </c>
      <c r="D104" s="196">
        <f t="shared" si="31"/>
        <v>313.04855757075882</v>
      </c>
      <c r="E104" s="196">
        <f t="shared" si="31"/>
        <v>323.17999232641188</v>
      </c>
      <c r="F104" s="196">
        <f t="shared" si="31"/>
        <v>309.05723045555084</v>
      </c>
      <c r="G104" s="196">
        <f t="shared" si="31"/>
        <v>295.06419389698669</v>
      </c>
      <c r="H104" s="196">
        <f t="shared" si="31"/>
        <v>301.45373108179621</v>
      </c>
      <c r="I104" s="196">
        <f t="shared" si="31"/>
        <v>289.60461146498926</v>
      </c>
      <c r="J104" s="196">
        <f>SUM(B104:I104)</f>
        <v>2444.6479922521826</v>
      </c>
      <c r="K104" s="65"/>
      <c r="L104" s="195" t="s">
        <v>46</v>
      </c>
      <c r="M104" s="196">
        <f t="shared" ref="M104:U104" si="32">B54-B104</f>
        <v>0</v>
      </c>
      <c r="N104" s="196">
        <f t="shared" si="32"/>
        <v>0</v>
      </c>
      <c r="O104" s="196">
        <f t="shared" si="32"/>
        <v>-1.0269997058925924</v>
      </c>
      <c r="P104" s="196">
        <f t="shared" si="32"/>
        <v>1.7734202631585276</v>
      </c>
      <c r="Q104" s="196">
        <f t="shared" si="32"/>
        <v>-5.7909608378771509</v>
      </c>
      <c r="R104" s="196">
        <f t="shared" si="32"/>
        <v>15.333514900495345</v>
      </c>
      <c r="S104" s="196">
        <f t="shared" si="32"/>
        <v>-3.6274526037061605E-2</v>
      </c>
      <c r="T104" s="196">
        <f t="shared" si="32"/>
        <v>21.167446716410495</v>
      </c>
      <c r="U104" s="196">
        <f t="shared" si="32"/>
        <v>31.420146810257393</v>
      </c>
      <c r="W104" s="195" t="s">
        <v>46</v>
      </c>
      <c r="X104" s="196">
        <f t="shared" ref="X104:AF104" si="33">M104/B104</f>
        <v>0</v>
      </c>
      <c r="Y104" s="196">
        <f t="shared" si="33"/>
        <v>0</v>
      </c>
      <c r="Z104" s="196">
        <f t="shared" si="33"/>
        <v>-3.2806402746655625E-3</v>
      </c>
      <c r="AA104" s="196">
        <f t="shared" si="33"/>
        <v>5.4874073434823673E-3</v>
      </c>
      <c r="AB104" s="196">
        <f t="shared" si="33"/>
        <v>-1.8737503178104797E-2</v>
      </c>
      <c r="AC104" s="196">
        <f t="shared" si="33"/>
        <v>5.196670832194776E-2</v>
      </c>
      <c r="AD104" s="196">
        <f t="shared" si="33"/>
        <v>-1.2033198563138336E-4</v>
      </c>
      <c r="AE104" s="196">
        <f t="shared" si="33"/>
        <v>7.309084827528535E-2</v>
      </c>
      <c r="AF104" s="196">
        <f t="shared" si="33"/>
        <v>1.2852626189879767E-2</v>
      </c>
    </row>
    <row r="105" spans="1:32">
      <c r="B105" s="197"/>
      <c r="C105" s="197"/>
      <c r="D105" s="197"/>
      <c r="E105" s="197"/>
      <c r="F105" s="197"/>
      <c r="G105" s="197"/>
      <c r="H105" s="197"/>
      <c r="I105" s="197"/>
      <c r="J105" s="197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</row>
    <row r="106" spans="1:32">
      <c r="B106" s="73"/>
      <c r="C106" s="65"/>
      <c r="D106" s="87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</row>
    <row r="107" spans="1:32">
      <c r="A107" s="6" t="s">
        <v>53</v>
      </c>
      <c r="B107" s="73"/>
      <c r="C107" s="65"/>
      <c r="D107" s="87"/>
      <c r="E107" s="65"/>
      <c r="F107" s="65"/>
      <c r="G107" s="65"/>
      <c r="H107" s="65"/>
      <c r="I107" s="65"/>
      <c r="J107" s="65"/>
      <c r="K107" s="65"/>
      <c r="L107" s="87" t="s">
        <v>54</v>
      </c>
      <c r="M107" s="65"/>
      <c r="N107" s="65"/>
      <c r="O107" s="87"/>
      <c r="P107" s="65"/>
      <c r="Q107" s="65"/>
      <c r="R107" s="65"/>
      <c r="S107" s="65"/>
      <c r="T107" s="65"/>
      <c r="U107" s="65"/>
      <c r="W107" s="6" t="s">
        <v>55</v>
      </c>
      <c r="Z107" s="6"/>
    </row>
    <row r="108" spans="1:32">
      <c r="A108" s="7" t="str">
        <f>$A$3&amp;" prices"</f>
        <v>2017/18 prices</v>
      </c>
      <c r="B108" s="73"/>
      <c r="C108" s="65"/>
      <c r="D108" s="87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87"/>
      <c r="P108" s="65"/>
      <c r="Q108" s="65"/>
      <c r="R108" s="65"/>
      <c r="S108" s="65"/>
      <c r="T108" s="65"/>
      <c r="U108" s="65"/>
      <c r="Z108" s="6"/>
    </row>
    <row r="109" spans="1:32">
      <c r="A109" s="8"/>
      <c r="B109" s="198"/>
      <c r="C109" s="199"/>
      <c r="D109" s="200"/>
      <c r="E109" s="199"/>
      <c r="F109" s="199"/>
      <c r="G109" s="199"/>
      <c r="H109" s="199"/>
      <c r="I109" s="199"/>
      <c r="J109" s="201"/>
      <c r="K109" s="65"/>
      <c r="L109" s="8"/>
      <c r="M109" s="198"/>
      <c r="N109" s="199"/>
      <c r="O109" s="200"/>
      <c r="P109" s="199"/>
      <c r="Q109" s="199"/>
      <c r="R109" s="199"/>
      <c r="S109" s="199"/>
      <c r="T109" s="199"/>
      <c r="U109" s="201"/>
      <c r="W109" s="8"/>
      <c r="X109" s="198"/>
      <c r="Y109" s="199"/>
      <c r="Z109" s="200"/>
      <c r="AA109" s="199"/>
      <c r="AB109" s="199"/>
      <c r="AC109" s="199"/>
      <c r="AD109" s="199"/>
      <c r="AE109" s="199"/>
      <c r="AF109" s="201"/>
    </row>
    <row r="110" spans="1:32">
      <c r="A110" s="17"/>
      <c r="B110" s="202" t="s">
        <v>56</v>
      </c>
      <c r="C110" s="203"/>
      <c r="D110" s="203"/>
      <c r="E110" s="203"/>
      <c r="F110" s="203"/>
      <c r="G110" s="203"/>
      <c r="H110" s="203"/>
      <c r="I110" s="203"/>
      <c r="J110" s="204"/>
      <c r="K110" s="65"/>
      <c r="L110" s="17"/>
      <c r="M110" s="202" t="s">
        <v>56</v>
      </c>
      <c r="N110" s="203"/>
      <c r="O110" s="203"/>
      <c r="P110" s="203"/>
      <c r="Q110" s="203"/>
      <c r="R110" s="203"/>
      <c r="S110" s="203"/>
      <c r="T110" s="203"/>
      <c r="U110" s="204"/>
      <c r="W110" s="17"/>
      <c r="X110" s="202" t="s">
        <v>56</v>
      </c>
      <c r="Y110" s="203"/>
      <c r="Z110" s="203"/>
      <c r="AA110" s="203"/>
      <c r="AB110" s="203"/>
      <c r="AC110" s="203"/>
      <c r="AD110" s="203"/>
      <c r="AE110" s="203"/>
      <c r="AF110" s="204"/>
    </row>
    <row r="111" spans="1:32" ht="25.5">
      <c r="A111" s="26" t="s">
        <v>6</v>
      </c>
      <c r="B111" s="27">
        <v>2014</v>
      </c>
      <c r="C111" s="28">
        <v>2015</v>
      </c>
      <c r="D111" s="28">
        <v>2016</v>
      </c>
      <c r="E111" s="90">
        <v>2017</v>
      </c>
      <c r="F111" s="28">
        <v>2018</v>
      </c>
      <c r="G111" s="90">
        <v>2019</v>
      </c>
      <c r="H111" s="28">
        <v>2020</v>
      </c>
      <c r="I111" s="91">
        <v>2021</v>
      </c>
      <c r="J111" s="92" t="s">
        <v>5</v>
      </c>
      <c r="K111" s="65"/>
      <c r="L111" s="26" t="s">
        <v>6</v>
      </c>
      <c r="M111" s="27">
        <v>2014</v>
      </c>
      <c r="N111" s="28">
        <v>2015</v>
      </c>
      <c r="O111" s="28">
        <v>2016</v>
      </c>
      <c r="P111" s="90">
        <v>2017</v>
      </c>
      <c r="Q111" s="28">
        <v>2018</v>
      </c>
      <c r="R111" s="90">
        <v>2019</v>
      </c>
      <c r="S111" s="28">
        <v>2020</v>
      </c>
      <c r="T111" s="91">
        <v>2021</v>
      </c>
      <c r="U111" s="92" t="s">
        <v>5</v>
      </c>
      <c r="W111" s="26" t="s">
        <v>6</v>
      </c>
      <c r="X111" s="27">
        <v>2014</v>
      </c>
      <c r="Y111" s="28">
        <v>2015</v>
      </c>
      <c r="Z111" s="28">
        <v>2016</v>
      </c>
      <c r="AA111" s="90">
        <v>2017</v>
      </c>
      <c r="AB111" s="28">
        <v>2018</v>
      </c>
      <c r="AC111" s="90">
        <v>2019</v>
      </c>
      <c r="AD111" s="28">
        <v>2020</v>
      </c>
      <c r="AE111" s="91">
        <v>2021</v>
      </c>
      <c r="AF111" s="92" t="s">
        <v>5</v>
      </c>
    </row>
    <row r="112" spans="1:32">
      <c r="A112" s="30" t="s">
        <v>7</v>
      </c>
      <c r="B112" s="31">
        <v>13.346586095050085</v>
      </c>
      <c r="C112" s="93">
        <v>14.274277335535427</v>
      </c>
      <c r="D112" s="93">
        <v>22.979145792885667</v>
      </c>
      <c r="E112" s="93">
        <v>19.06911309077994</v>
      </c>
      <c r="F112" s="93">
        <v>16.198036857631116</v>
      </c>
      <c r="G112" s="93">
        <v>16.525944253968181</v>
      </c>
      <c r="H112" s="93">
        <v>13.04518396981851</v>
      </c>
      <c r="I112" s="94">
        <v>13.566502072237787</v>
      </c>
      <c r="J112" s="33">
        <v>129.0047894679067</v>
      </c>
      <c r="K112" s="205"/>
      <c r="L112" s="30" t="s">
        <v>7</v>
      </c>
      <c r="M112" s="206">
        <f t="shared" ref="M112:U137" si="34">B12-B112</f>
        <v>-3.6629272285628627</v>
      </c>
      <c r="N112" s="207">
        <f t="shared" si="34"/>
        <v>1.7842771216074347</v>
      </c>
      <c r="O112" s="207">
        <f t="shared" si="34"/>
        <v>-1.8785031147032356</v>
      </c>
      <c r="P112" s="207">
        <f t="shared" si="34"/>
        <v>-3.5520437998789323</v>
      </c>
      <c r="Q112" s="207">
        <f t="shared" si="34"/>
        <v>-4.8215494918458965</v>
      </c>
      <c r="R112" s="207">
        <f t="shared" si="34"/>
        <v>-2.7378730971351466</v>
      </c>
      <c r="S112" s="207">
        <f t="shared" si="34"/>
        <v>3.7243393956037245</v>
      </c>
      <c r="T112" s="208">
        <f t="shared" si="34"/>
        <v>7.309432032117618</v>
      </c>
      <c r="U112" s="209">
        <f t="shared" si="34"/>
        <v>-3.8348481827973018</v>
      </c>
      <c r="W112" s="30" t="s">
        <v>7</v>
      </c>
      <c r="X112" s="210">
        <f t="shared" ref="X112:AF144" si="35">M112/B112</f>
        <v>-0.27444675383477657</v>
      </c>
      <c r="Y112" s="211">
        <f t="shared" si="35"/>
        <v>0.12499947140339814</v>
      </c>
      <c r="Z112" s="211">
        <f t="shared" si="35"/>
        <v>-8.1748169911730104E-2</v>
      </c>
      <c r="AA112" s="211">
        <f t="shared" si="35"/>
        <v>-0.18627210311088732</v>
      </c>
      <c r="AB112" s="211">
        <f t="shared" si="35"/>
        <v>-0.29766258307866478</v>
      </c>
      <c r="AC112" s="211">
        <f t="shared" si="35"/>
        <v>-0.16567120492844054</v>
      </c>
      <c r="AD112" s="211">
        <f t="shared" si="35"/>
        <v>0.28549535247800256</v>
      </c>
      <c r="AE112" s="212">
        <f t="shared" si="35"/>
        <v>0.53878531055366807</v>
      </c>
      <c r="AF112" s="213">
        <f t="shared" si="35"/>
        <v>-2.972640162132368E-2</v>
      </c>
    </row>
    <row r="113" spans="1:32">
      <c r="A113" s="30" t="s">
        <v>8</v>
      </c>
      <c r="B113" s="34">
        <v>6.8097973611468481</v>
      </c>
      <c r="C113" s="66">
        <v>6.7069290814844962</v>
      </c>
      <c r="D113" s="66">
        <v>7.4789122593323079</v>
      </c>
      <c r="E113" s="66">
        <v>7.4794218085930568</v>
      </c>
      <c r="F113" s="66">
        <v>7.3946362217020818</v>
      </c>
      <c r="G113" s="66">
        <v>7.5500690173549181</v>
      </c>
      <c r="H113" s="66">
        <v>7.6982536306999956</v>
      </c>
      <c r="I113" s="100">
        <v>7.7753321825412334</v>
      </c>
      <c r="J113" s="36">
        <v>58.893351562854932</v>
      </c>
      <c r="K113" s="205"/>
      <c r="L113" s="30" t="s">
        <v>8</v>
      </c>
      <c r="M113" s="214">
        <f t="shared" si="34"/>
        <v>0.33105033645263671</v>
      </c>
      <c r="N113" s="215">
        <f t="shared" si="34"/>
        <v>0.59027171332069894</v>
      </c>
      <c r="O113" s="215">
        <f t="shared" si="34"/>
        <v>2.9908888955283093</v>
      </c>
      <c r="P113" s="215">
        <f t="shared" si="34"/>
        <v>1.6938979834594106</v>
      </c>
      <c r="Q113" s="215">
        <f t="shared" si="34"/>
        <v>2.6410062882979153</v>
      </c>
      <c r="R113" s="215">
        <f t="shared" si="34"/>
        <v>3.2549112178258763</v>
      </c>
      <c r="S113" s="215">
        <f t="shared" si="34"/>
        <v>0.83959840660602136</v>
      </c>
      <c r="T113" s="216">
        <f t="shared" si="34"/>
        <v>0.65744806367327957</v>
      </c>
      <c r="U113" s="217">
        <f t="shared" si="34"/>
        <v>12.999072905164141</v>
      </c>
      <c r="W113" s="30" t="s">
        <v>8</v>
      </c>
      <c r="X113" s="218">
        <f t="shared" si="35"/>
        <v>4.861383076410427E-2</v>
      </c>
      <c r="Y113" s="219">
        <f t="shared" si="35"/>
        <v>8.8009237334898072E-2</v>
      </c>
      <c r="Z113" s="219">
        <f t="shared" si="35"/>
        <v>0.39990961142728071</v>
      </c>
      <c r="AA113" s="219">
        <f t="shared" si="35"/>
        <v>0.22647445575449465</v>
      </c>
      <c r="AB113" s="219">
        <f t="shared" si="35"/>
        <v>0.35715161762075348</v>
      </c>
      <c r="AC113" s="219">
        <f t="shared" si="35"/>
        <v>0.4311101276483692</v>
      </c>
      <c r="AD113" s="219">
        <f t="shared" si="35"/>
        <v>0.10906348983589897</v>
      </c>
      <c r="AE113" s="220">
        <f t="shared" si="35"/>
        <v>8.4555623893409523E-2</v>
      </c>
      <c r="AF113" s="221">
        <f t="shared" si="35"/>
        <v>0.22072224725214795</v>
      </c>
    </row>
    <row r="114" spans="1:32">
      <c r="A114" s="30" t="s">
        <v>9</v>
      </c>
      <c r="B114" s="34">
        <v>5.3522064953485859</v>
      </c>
      <c r="C114" s="66">
        <v>5.341495490469705</v>
      </c>
      <c r="D114" s="66">
        <v>5.2578198736241664</v>
      </c>
      <c r="E114" s="66">
        <v>5.2506223720881637</v>
      </c>
      <c r="F114" s="66">
        <v>5.1299145880737189</v>
      </c>
      <c r="G114" s="66">
        <v>4.9078450647301386</v>
      </c>
      <c r="H114" s="66">
        <v>4.8998408489457814</v>
      </c>
      <c r="I114" s="100">
        <v>4.7292789831249529</v>
      </c>
      <c r="J114" s="36">
        <v>40.869023716405209</v>
      </c>
      <c r="K114" s="205"/>
      <c r="L114" s="30" t="s">
        <v>9</v>
      </c>
      <c r="M114" s="214">
        <f t="shared" si="34"/>
        <v>-2.2285698866632608</v>
      </c>
      <c r="N114" s="215">
        <f t="shared" si="34"/>
        <v>-3.4371327995606138</v>
      </c>
      <c r="O114" s="215">
        <f t="shared" si="34"/>
        <v>-1.8484806767510134</v>
      </c>
      <c r="P114" s="215">
        <f t="shared" si="34"/>
        <v>-3.0273931505821556</v>
      </c>
      <c r="Q114" s="215">
        <f t="shared" si="34"/>
        <v>-2.9448002729121328</v>
      </c>
      <c r="R114" s="215">
        <f t="shared" si="34"/>
        <v>-0.79024814819841183</v>
      </c>
      <c r="S114" s="215">
        <f t="shared" si="34"/>
        <v>-1.1678764146222433</v>
      </c>
      <c r="T114" s="216">
        <f t="shared" si="34"/>
        <v>-0.86807371294384739</v>
      </c>
      <c r="U114" s="217">
        <f t="shared" si="34"/>
        <v>-16.312575062233677</v>
      </c>
      <c r="W114" s="30" t="s">
        <v>9</v>
      </c>
      <c r="X114" s="218">
        <f t="shared" si="35"/>
        <v>-0.41638339040170302</v>
      </c>
      <c r="Y114" s="219">
        <f t="shared" si="35"/>
        <v>-0.64347761889776844</v>
      </c>
      <c r="Z114" s="219">
        <f t="shared" si="35"/>
        <v>-0.35156789718565856</v>
      </c>
      <c r="AA114" s="219">
        <f t="shared" si="35"/>
        <v>-0.57657796277170981</v>
      </c>
      <c r="AB114" s="219">
        <f t="shared" si="35"/>
        <v>-0.57404469847477602</v>
      </c>
      <c r="AC114" s="219">
        <f t="shared" si="35"/>
        <v>-0.16101733811392518</v>
      </c>
      <c r="AD114" s="219">
        <f t="shared" si="35"/>
        <v>-0.23834986699078525</v>
      </c>
      <c r="AE114" s="220">
        <f t="shared" si="35"/>
        <v>-0.18355307776117971</v>
      </c>
      <c r="AF114" s="221">
        <f t="shared" si="35"/>
        <v>-0.3991427633659293</v>
      </c>
    </row>
    <row r="115" spans="1:32">
      <c r="A115" s="30" t="s">
        <v>10</v>
      </c>
      <c r="B115" s="34">
        <v>1.7392105789472447</v>
      </c>
      <c r="C115" s="66">
        <v>1.7296410765867682</v>
      </c>
      <c r="D115" s="66">
        <v>1.7335734536283351</v>
      </c>
      <c r="E115" s="66">
        <v>1.727557359366259</v>
      </c>
      <c r="F115" s="66">
        <v>1.7332448629147357</v>
      </c>
      <c r="G115" s="66">
        <v>1.7460796334804396</v>
      </c>
      <c r="H115" s="66">
        <v>1.6897798047765717</v>
      </c>
      <c r="I115" s="100">
        <v>1.7210966164699852</v>
      </c>
      <c r="J115" s="36">
        <v>13.820183386170338</v>
      </c>
      <c r="K115" s="205"/>
      <c r="L115" s="30" t="s">
        <v>10</v>
      </c>
      <c r="M115" s="214">
        <f t="shared" si="34"/>
        <v>0.48894418860178046</v>
      </c>
      <c r="N115" s="215">
        <f t="shared" si="34"/>
        <v>-0.25477750775559915</v>
      </c>
      <c r="O115" s="215">
        <f t="shared" si="34"/>
        <v>0.16739205788231315</v>
      </c>
      <c r="P115" s="215">
        <f t="shared" si="34"/>
        <v>-2.8688278682313273E-2</v>
      </c>
      <c r="Q115" s="215">
        <f t="shared" si="34"/>
        <v>-0.27991566248320066</v>
      </c>
      <c r="R115" s="215">
        <f t="shared" si="34"/>
        <v>7.7370809827106202E-2</v>
      </c>
      <c r="S115" s="215">
        <f t="shared" si="34"/>
        <v>-0.47931831620984533</v>
      </c>
      <c r="T115" s="216">
        <f t="shared" si="34"/>
        <v>-0.46871590350847536</v>
      </c>
      <c r="U115" s="217">
        <f t="shared" si="34"/>
        <v>-0.77770861232823307</v>
      </c>
      <c r="W115" s="30" t="s">
        <v>10</v>
      </c>
      <c r="X115" s="218">
        <f t="shared" si="35"/>
        <v>0.28112995316400474</v>
      </c>
      <c r="Y115" s="219">
        <f t="shared" si="35"/>
        <v>-0.14730079621973993</v>
      </c>
      <c r="Z115" s="219">
        <f t="shared" si="35"/>
        <v>9.6558964681862688E-2</v>
      </c>
      <c r="AA115" s="219">
        <f t="shared" si="35"/>
        <v>-1.6606266950717829E-2</v>
      </c>
      <c r="AB115" s="219">
        <f t="shared" si="35"/>
        <v>-0.16149804824026798</v>
      </c>
      <c r="AC115" s="219">
        <f t="shared" si="35"/>
        <v>4.4311157603324137E-2</v>
      </c>
      <c r="AD115" s="219">
        <f t="shared" si="35"/>
        <v>-0.28365726401448049</v>
      </c>
      <c r="AE115" s="220">
        <f t="shared" si="35"/>
        <v>-0.27233561383080523</v>
      </c>
      <c r="AF115" s="221">
        <f t="shared" si="35"/>
        <v>-5.627339309451386E-2</v>
      </c>
    </row>
    <row r="116" spans="1:32">
      <c r="A116" s="30" t="s">
        <v>11</v>
      </c>
      <c r="B116" s="34">
        <v>28.932095204589793</v>
      </c>
      <c r="C116" s="66">
        <v>32.520787260423162</v>
      </c>
      <c r="D116" s="66">
        <v>27.102632383998788</v>
      </c>
      <c r="E116" s="66">
        <v>26.554739416025267</v>
      </c>
      <c r="F116" s="66">
        <v>15.206372092545088</v>
      </c>
      <c r="G116" s="66">
        <v>15.311829085935559</v>
      </c>
      <c r="H116" s="66">
        <v>18.477604705367764</v>
      </c>
      <c r="I116" s="100">
        <v>18.680603952684866</v>
      </c>
      <c r="J116" s="36">
        <v>182.78666410157032</v>
      </c>
      <c r="K116" s="205"/>
      <c r="L116" s="30" t="s">
        <v>11</v>
      </c>
      <c r="M116" s="214">
        <f t="shared" si="34"/>
        <v>-7.1495964195413642</v>
      </c>
      <c r="N116" s="215">
        <f t="shared" si="34"/>
        <v>-7.2231818630205566</v>
      </c>
      <c r="O116" s="215">
        <f t="shared" si="34"/>
        <v>0.66272123231778934</v>
      </c>
      <c r="P116" s="215">
        <f t="shared" si="34"/>
        <v>6.0174528803165721</v>
      </c>
      <c r="Q116" s="215">
        <f t="shared" si="34"/>
        <v>12.142984696076564</v>
      </c>
      <c r="R116" s="215">
        <f t="shared" si="34"/>
        <v>16.868894289399968</v>
      </c>
      <c r="S116" s="215">
        <f t="shared" si="34"/>
        <v>13.111740245431012</v>
      </c>
      <c r="T116" s="216">
        <f t="shared" si="34"/>
        <v>4.8333655249344893</v>
      </c>
      <c r="U116" s="217">
        <f t="shared" si="34"/>
        <v>39.264380585914438</v>
      </c>
      <c r="W116" s="30" t="s">
        <v>11</v>
      </c>
      <c r="X116" s="218">
        <f t="shared" si="35"/>
        <v>-0.24711644175728936</v>
      </c>
      <c r="Y116" s="219">
        <f t="shared" si="35"/>
        <v>-0.22210968649614937</v>
      </c>
      <c r="Z116" s="219">
        <f t="shared" si="35"/>
        <v>2.4452282823607036E-2</v>
      </c>
      <c r="AA116" s="219">
        <f t="shared" si="35"/>
        <v>0.22660560836402546</v>
      </c>
      <c r="AB116" s="219">
        <f t="shared" si="35"/>
        <v>0.79854580843971668</v>
      </c>
      <c r="AC116" s="219">
        <f t="shared" si="35"/>
        <v>1.1016903463802785</v>
      </c>
      <c r="AD116" s="219">
        <f t="shared" si="35"/>
        <v>0.709601728930917</v>
      </c>
      <c r="AE116" s="220">
        <f t="shared" si="35"/>
        <v>0.25873711241760011</v>
      </c>
      <c r="AF116" s="221">
        <f t="shared" si="35"/>
        <v>0.21480987564878437</v>
      </c>
    </row>
    <row r="117" spans="1:32">
      <c r="A117" s="37" t="s">
        <v>12</v>
      </c>
      <c r="B117" s="38">
        <v>5.9929067455291785</v>
      </c>
      <c r="C117" s="106">
        <v>5.7980801470440495</v>
      </c>
      <c r="D117" s="106">
        <v>4.1994117642607494</v>
      </c>
      <c r="E117" s="106">
        <v>11.431638658873602</v>
      </c>
      <c r="F117" s="106">
        <v>4.8182084192395509</v>
      </c>
      <c r="G117" s="106">
        <v>3.5531173717077134</v>
      </c>
      <c r="H117" s="106">
        <v>5.8385478576472005</v>
      </c>
      <c r="I117" s="107">
        <v>4.8231786563036119</v>
      </c>
      <c r="J117" s="39">
        <v>46.455089620605662</v>
      </c>
      <c r="K117" s="205"/>
      <c r="L117" s="37" t="s">
        <v>12</v>
      </c>
      <c r="M117" s="222">
        <f t="shared" si="34"/>
        <v>-0.18863059744935295</v>
      </c>
      <c r="N117" s="223">
        <f t="shared" si="34"/>
        <v>-0.57232898340768479</v>
      </c>
      <c r="O117" s="223">
        <f t="shared" si="34"/>
        <v>2.1888874709084902</v>
      </c>
      <c r="P117" s="223">
        <f t="shared" si="34"/>
        <v>5.1915185915854316</v>
      </c>
      <c r="Q117" s="223">
        <f t="shared" si="34"/>
        <v>9.2953699470326967</v>
      </c>
      <c r="R117" s="223">
        <f t="shared" si="34"/>
        <v>12.482848777088314</v>
      </c>
      <c r="S117" s="223">
        <f t="shared" si="34"/>
        <v>2.0899748924648573</v>
      </c>
      <c r="T117" s="224">
        <f t="shared" si="34"/>
        <v>3.9434863344269564</v>
      </c>
      <c r="U117" s="225">
        <f t="shared" si="34"/>
        <v>34.431126432649677</v>
      </c>
      <c r="W117" s="37" t="s">
        <v>12</v>
      </c>
      <c r="X117" s="226">
        <f t="shared" si="35"/>
        <v>-3.1475643699958276E-2</v>
      </c>
      <c r="Y117" s="227">
        <f t="shared" si="35"/>
        <v>-9.8710084871708251E-2</v>
      </c>
      <c r="Z117" s="227">
        <f t="shared" si="35"/>
        <v>0.52123668594184991</v>
      </c>
      <c r="AA117" s="227">
        <f t="shared" si="35"/>
        <v>0.4541359945413958</v>
      </c>
      <c r="AB117" s="227">
        <f t="shared" si="35"/>
        <v>1.9292170736980632</v>
      </c>
      <c r="AC117" s="227">
        <f t="shared" si="35"/>
        <v>3.5132103646462873</v>
      </c>
      <c r="AD117" s="227">
        <f t="shared" si="35"/>
        <v>0.35796142181612067</v>
      </c>
      <c r="AE117" s="228">
        <f t="shared" si="35"/>
        <v>0.81761149968455982</v>
      </c>
      <c r="AF117" s="229">
        <f t="shared" si="35"/>
        <v>0.74117016485912401</v>
      </c>
    </row>
    <row r="118" spans="1:32">
      <c r="A118" s="37" t="s">
        <v>13</v>
      </c>
      <c r="B118" s="38">
        <v>5.6448588425795307</v>
      </c>
      <c r="C118" s="113">
        <v>5.633588908770073</v>
      </c>
      <c r="D118" s="113">
        <v>7.7700151043330283</v>
      </c>
      <c r="E118" s="113">
        <v>0.49427978230398528</v>
      </c>
      <c r="F118" s="113">
        <v>0.41775646675827333</v>
      </c>
      <c r="G118" s="113">
        <v>2.8990720940056613</v>
      </c>
      <c r="H118" s="113">
        <v>4.0825525194780825</v>
      </c>
      <c r="I118" s="114">
        <v>3.4807814804440023</v>
      </c>
      <c r="J118" s="39">
        <v>30.422905198672634</v>
      </c>
      <c r="K118" s="205"/>
      <c r="L118" s="37" t="s">
        <v>13</v>
      </c>
      <c r="M118" s="222">
        <f t="shared" si="34"/>
        <v>-1.3770863071223616</v>
      </c>
      <c r="N118" s="230">
        <f t="shared" si="34"/>
        <v>-0.85018970877007138</v>
      </c>
      <c r="O118" s="230">
        <f t="shared" si="34"/>
        <v>-4.8747527649898199</v>
      </c>
      <c r="P118" s="230">
        <f t="shared" si="34"/>
        <v>2.1345685204437204</v>
      </c>
      <c r="Q118" s="230">
        <f t="shared" si="34"/>
        <v>2.8123172451380198</v>
      </c>
      <c r="R118" s="230">
        <f t="shared" si="34"/>
        <v>-1.9740605604888231</v>
      </c>
      <c r="S118" s="230">
        <f t="shared" si="34"/>
        <v>-0.96729672788786969</v>
      </c>
      <c r="T118" s="231">
        <f t="shared" si="34"/>
        <v>-2.1552792671755214</v>
      </c>
      <c r="U118" s="225">
        <f t="shared" si="34"/>
        <v>-7.251779570852726</v>
      </c>
      <c r="W118" s="37" t="s">
        <v>13</v>
      </c>
      <c r="X118" s="226">
        <f t="shared" si="35"/>
        <v>-0.24395407317095541</v>
      </c>
      <c r="Y118" s="232">
        <f t="shared" si="35"/>
        <v>-0.15091440332938405</v>
      </c>
      <c r="Z118" s="232">
        <f t="shared" si="35"/>
        <v>-0.6273800886527704</v>
      </c>
      <c r="AA118" s="232">
        <f t="shared" si="35"/>
        <v>4.3185430536807727</v>
      </c>
      <c r="AB118" s="232">
        <f t="shared" si="35"/>
        <v>6.7319538269776507</v>
      </c>
      <c r="AC118" s="232">
        <f t="shared" si="35"/>
        <v>-0.68092841311899022</v>
      </c>
      <c r="AD118" s="232">
        <f t="shared" si="35"/>
        <v>-0.23693430109541613</v>
      </c>
      <c r="AE118" s="233">
        <f t="shared" si="35"/>
        <v>-0.61919407445841668</v>
      </c>
      <c r="AF118" s="229">
        <f t="shared" si="35"/>
        <v>-0.23836578142343634</v>
      </c>
    </row>
    <row r="119" spans="1:32">
      <c r="A119" s="40" t="s">
        <v>14</v>
      </c>
      <c r="B119" s="41">
        <v>56.17989573508256</v>
      </c>
      <c r="C119" s="41">
        <v>60.573130244499552</v>
      </c>
      <c r="D119" s="117">
        <v>64.55208376346927</v>
      </c>
      <c r="E119" s="117">
        <v>60.081454046852691</v>
      </c>
      <c r="F119" s="117">
        <v>45.662204622866746</v>
      </c>
      <c r="G119" s="117">
        <v>46.041767055469229</v>
      </c>
      <c r="H119" s="117">
        <v>45.810662959608621</v>
      </c>
      <c r="I119" s="117">
        <v>46.47281380705882</v>
      </c>
      <c r="J119" s="41">
        <v>425.37401223490747</v>
      </c>
      <c r="K119" s="205"/>
      <c r="L119" s="40" t="s">
        <v>14</v>
      </c>
      <c r="M119" s="234">
        <f t="shared" si="34"/>
        <v>-12.221099009713079</v>
      </c>
      <c r="N119" s="79">
        <f t="shared" si="34"/>
        <v>-8.5405433354086284</v>
      </c>
      <c r="O119" s="235">
        <f t="shared" si="34"/>
        <v>9.4018394274158368E-2</v>
      </c>
      <c r="P119" s="235">
        <f t="shared" si="34"/>
        <v>1.1032256346325724</v>
      </c>
      <c r="Q119" s="235">
        <f t="shared" si="34"/>
        <v>6.7377255571332455</v>
      </c>
      <c r="R119" s="235">
        <f t="shared" si="34"/>
        <v>16.673055071719396</v>
      </c>
      <c r="S119" s="235">
        <f t="shared" si="34"/>
        <v>16.028483316808668</v>
      </c>
      <c r="T119" s="235">
        <f t="shared" si="34"/>
        <v>11.46345600427307</v>
      </c>
      <c r="U119" s="234">
        <f t="shared" si="34"/>
        <v>31.338321633719431</v>
      </c>
      <c r="W119" s="40" t="s">
        <v>14</v>
      </c>
      <c r="X119" s="236">
        <f t="shared" si="35"/>
        <v>-0.21753509595927198</v>
      </c>
      <c r="Y119" s="237">
        <f t="shared" si="35"/>
        <v>-0.14099557511614924</v>
      </c>
      <c r="Z119" s="238">
        <f t="shared" si="35"/>
        <v>1.4564734210387241E-3</v>
      </c>
      <c r="AA119" s="238">
        <f t="shared" si="35"/>
        <v>1.8362166031671862E-2</v>
      </c>
      <c r="AB119" s="238">
        <f t="shared" si="35"/>
        <v>0.14755585309078842</v>
      </c>
      <c r="AC119" s="238">
        <f t="shared" si="35"/>
        <v>0.362128913332809</v>
      </c>
      <c r="AD119" s="238">
        <f t="shared" si="35"/>
        <v>0.34988542582195375</v>
      </c>
      <c r="AE119" s="238">
        <f t="shared" si="35"/>
        <v>0.2466701511095476</v>
      </c>
      <c r="AF119" s="236">
        <f t="shared" si="35"/>
        <v>7.3672393546254628E-2</v>
      </c>
    </row>
    <row r="120" spans="1:32">
      <c r="A120" s="30" t="s">
        <v>15</v>
      </c>
      <c r="B120" s="239">
        <v>-1.9770621367634578</v>
      </c>
      <c r="C120" s="66">
        <v>-1.7922661452374264</v>
      </c>
      <c r="D120" s="66">
        <v>-1.7837377130020529</v>
      </c>
      <c r="E120" s="66">
        <v>-2.1822723693656161</v>
      </c>
      <c r="F120" s="66">
        <v>-1.1358597129510715</v>
      </c>
      <c r="G120" s="66">
        <v>-2.3017806359733437</v>
      </c>
      <c r="H120" s="66">
        <v>-2.0700723425953576</v>
      </c>
      <c r="I120" s="100">
        <v>-1.8973857641733862</v>
      </c>
      <c r="J120" s="36">
        <v>-15.14043682006171</v>
      </c>
      <c r="K120" s="205"/>
      <c r="L120" s="30" t="s">
        <v>15</v>
      </c>
      <c r="M120" s="206">
        <f t="shared" si="34"/>
        <v>72.340569223298232</v>
      </c>
      <c r="N120" s="207">
        <f t="shared" si="34"/>
        <v>78.538725230951741</v>
      </c>
      <c r="O120" s="207">
        <f t="shared" si="34"/>
        <v>70.350596025022298</v>
      </c>
      <c r="P120" s="207">
        <f t="shared" si="34"/>
        <v>72.13102627885371</v>
      </c>
      <c r="Q120" s="207">
        <f t="shared" si="34"/>
        <v>67.541680891564425</v>
      </c>
      <c r="R120" s="207">
        <f t="shared" si="34"/>
        <v>68.707601814586681</v>
      </c>
      <c r="S120" s="207">
        <f t="shared" si="34"/>
        <v>64.038557057394499</v>
      </c>
      <c r="T120" s="207">
        <f t="shared" si="34"/>
        <v>63.865870478972525</v>
      </c>
      <c r="U120" s="240">
        <f t="shared" si="34"/>
        <v>557.51462700064417</v>
      </c>
      <c r="W120" s="30" t="s">
        <v>15</v>
      </c>
      <c r="X120" s="210">
        <f t="shared" si="35"/>
        <v>-36.589932040134606</v>
      </c>
      <c r="Y120" s="211">
        <f t="shared" si="35"/>
        <v>-43.820905416113575</v>
      </c>
      <c r="Z120" s="211">
        <f t="shared" si="35"/>
        <v>-39.439989137540501</v>
      </c>
      <c r="AA120" s="211">
        <f t="shared" si="35"/>
        <v>-33.053173055488998</v>
      </c>
      <c r="AB120" s="211">
        <f t="shared" si="35"/>
        <v>-59.463048228099154</v>
      </c>
      <c r="AC120" s="211">
        <f t="shared" si="35"/>
        <v>-29.849760981038319</v>
      </c>
      <c r="AD120" s="211">
        <f t="shared" si="35"/>
        <v>-30.935419859339806</v>
      </c>
      <c r="AE120" s="211">
        <f t="shared" si="35"/>
        <v>-33.659929195682714</v>
      </c>
      <c r="AF120" s="241">
        <f t="shared" si="35"/>
        <v>-36.822889169347746</v>
      </c>
    </row>
    <row r="121" spans="1:32">
      <c r="A121" s="30" t="s">
        <v>16</v>
      </c>
      <c r="B121" s="34">
        <v>0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66">
        <v>0</v>
      </c>
      <c r="I121" s="100">
        <v>0</v>
      </c>
      <c r="J121" s="36">
        <v>0</v>
      </c>
      <c r="K121" s="205"/>
      <c r="L121" s="30" t="s">
        <v>16</v>
      </c>
      <c r="M121" s="214">
        <f t="shared" si="34"/>
        <v>25.965305058434613</v>
      </c>
      <c r="N121" s="215">
        <f t="shared" si="34"/>
        <v>24.363632244155852</v>
      </c>
      <c r="O121" s="215">
        <f t="shared" si="34"/>
        <v>22.602387689757201</v>
      </c>
      <c r="P121" s="215">
        <f t="shared" si="34"/>
        <v>18.651934623238862</v>
      </c>
      <c r="Q121" s="215">
        <f t="shared" si="34"/>
        <v>24.680011096477525</v>
      </c>
      <c r="R121" s="215">
        <f t="shared" si="34"/>
        <v>29.823048632856189</v>
      </c>
      <c r="S121" s="215">
        <f t="shared" si="34"/>
        <v>26.4</v>
      </c>
      <c r="T121" s="215">
        <f t="shared" si="34"/>
        <v>27.799999999999997</v>
      </c>
      <c r="U121" s="242">
        <f t="shared" si="34"/>
        <v>200.28631934492023</v>
      </c>
      <c r="W121" s="30" t="s">
        <v>16</v>
      </c>
      <c r="X121" s="218" t="e">
        <f t="shared" si="35"/>
        <v>#DIV/0!</v>
      </c>
      <c r="Y121" s="219" t="e">
        <f t="shared" si="35"/>
        <v>#DIV/0!</v>
      </c>
      <c r="Z121" s="219" t="e">
        <f t="shared" si="35"/>
        <v>#DIV/0!</v>
      </c>
      <c r="AA121" s="219" t="e">
        <f t="shared" si="35"/>
        <v>#DIV/0!</v>
      </c>
      <c r="AB121" s="219" t="e">
        <f t="shared" si="35"/>
        <v>#DIV/0!</v>
      </c>
      <c r="AC121" s="219" t="e">
        <f t="shared" si="35"/>
        <v>#DIV/0!</v>
      </c>
      <c r="AD121" s="219" t="e">
        <f t="shared" si="35"/>
        <v>#DIV/0!</v>
      </c>
      <c r="AE121" s="219" t="e">
        <f t="shared" si="35"/>
        <v>#DIV/0!</v>
      </c>
      <c r="AF121" s="243" t="e">
        <f t="shared" si="35"/>
        <v>#DIV/0!</v>
      </c>
    </row>
    <row r="122" spans="1:32">
      <c r="A122" s="30" t="s">
        <v>50</v>
      </c>
      <c r="B122" s="34">
        <v>0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66">
        <v>0</v>
      </c>
      <c r="I122" s="100">
        <v>0</v>
      </c>
      <c r="J122" s="36">
        <v>0</v>
      </c>
      <c r="K122" s="205"/>
      <c r="L122" s="30" t="s">
        <v>50</v>
      </c>
      <c r="M122" s="244">
        <f t="shared" si="34"/>
        <v>0.10090020061565155</v>
      </c>
      <c r="N122" s="245">
        <f t="shared" si="34"/>
        <v>3.4274244155844159E-2</v>
      </c>
      <c r="O122" s="245">
        <f t="shared" si="34"/>
        <v>1.1494764267351925E-2</v>
      </c>
      <c r="P122" s="245">
        <f t="shared" si="34"/>
        <v>0</v>
      </c>
      <c r="Q122" s="245">
        <f t="shared" si="34"/>
        <v>0.13777573999999998</v>
      </c>
      <c r="R122" s="245">
        <f t="shared" si="34"/>
        <v>0.13584661282653815</v>
      </c>
      <c r="S122" s="245">
        <f t="shared" si="34"/>
        <v>0.12615684473567201</v>
      </c>
      <c r="T122" s="245">
        <f t="shared" si="34"/>
        <v>0.12490656648978567</v>
      </c>
      <c r="U122" s="246">
        <f t="shared" si="34"/>
        <v>0.67135497309084347</v>
      </c>
      <c r="W122" s="30" t="s">
        <v>50</v>
      </c>
      <c r="X122" s="247" t="e">
        <f t="shared" si="35"/>
        <v>#DIV/0!</v>
      </c>
      <c r="Y122" s="248" t="e">
        <f t="shared" si="35"/>
        <v>#DIV/0!</v>
      </c>
      <c r="Z122" s="248" t="e">
        <f t="shared" si="35"/>
        <v>#DIV/0!</v>
      </c>
      <c r="AA122" s="248" t="e">
        <f t="shared" si="35"/>
        <v>#DIV/0!</v>
      </c>
      <c r="AB122" s="248" t="e">
        <f t="shared" si="35"/>
        <v>#DIV/0!</v>
      </c>
      <c r="AC122" s="248" t="e">
        <f t="shared" si="35"/>
        <v>#DIV/0!</v>
      </c>
      <c r="AD122" s="248" t="e">
        <f t="shared" si="35"/>
        <v>#DIV/0!</v>
      </c>
      <c r="AE122" s="248" t="e">
        <f t="shared" si="35"/>
        <v>#DIV/0!</v>
      </c>
      <c r="AF122" s="249" t="e">
        <f t="shared" si="35"/>
        <v>#DIV/0!</v>
      </c>
    </row>
    <row r="123" spans="1:32">
      <c r="A123" s="40" t="s">
        <v>18</v>
      </c>
      <c r="B123" s="129">
        <v>103.81759319120221</v>
      </c>
      <c r="C123" s="130">
        <v>105.96137136913919</v>
      </c>
      <c r="D123" s="130">
        <v>105.19320304867733</v>
      </c>
      <c r="E123" s="130">
        <v>105.97965103514761</v>
      </c>
      <c r="F123" s="130">
        <v>107.5578384203757</v>
      </c>
      <c r="G123" s="130">
        <v>106.199489792413</v>
      </c>
      <c r="H123" s="130">
        <v>107.59589591131089</v>
      </c>
      <c r="I123" s="131">
        <v>107.49720985389382</v>
      </c>
      <c r="J123" s="132">
        <v>849.80225262215981</v>
      </c>
      <c r="K123" s="205"/>
      <c r="L123" s="40" t="s">
        <v>18</v>
      </c>
      <c r="M123" s="234">
        <f t="shared" si="34"/>
        <v>-7.3878808456171754</v>
      </c>
      <c r="N123" s="235">
        <f t="shared" si="34"/>
        <v>-4.8170057951131753</v>
      </c>
      <c r="O123" s="234">
        <f t="shared" si="34"/>
        <v>-14.012462282632526</v>
      </c>
      <c r="P123" s="80">
        <f t="shared" si="34"/>
        <v>-17.378962502420663</v>
      </c>
      <c r="Q123" s="234">
        <f t="shared" si="34"/>
        <v>-16.334230405284828</v>
      </c>
      <c r="R123" s="234">
        <f t="shared" si="34"/>
        <v>-9.8347733681169416</v>
      </c>
      <c r="S123" s="234">
        <f t="shared" si="34"/>
        <v>-19.101254351776078</v>
      </c>
      <c r="T123" s="234">
        <f t="shared" si="34"/>
        <v>-17.603818572604894</v>
      </c>
      <c r="U123" s="235">
        <f t="shared" si="34"/>
        <v>-106.47038812356629</v>
      </c>
      <c r="W123" s="40" t="s">
        <v>18</v>
      </c>
      <c r="X123" s="236">
        <f t="shared" si="35"/>
        <v>-7.1162127906498659E-2</v>
      </c>
      <c r="Y123" s="238">
        <f t="shared" si="35"/>
        <v>-4.5460017484410441E-2</v>
      </c>
      <c r="Z123" s="236">
        <f t="shared" si="35"/>
        <v>-0.13320691714414637</v>
      </c>
      <c r="AA123" s="250">
        <f t="shared" si="35"/>
        <v>-0.16398395666218055</v>
      </c>
      <c r="AB123" s="236">
        <f t="shared" si="35"/>
        <v>-0.15186462135325396</v>
      </c>
      <c r="AC123" s="236">
        <f t="shared" si="35"/>
        <v>-9.2606597144118744E-2</v>
      </c>
      <c r="AD123" s="236">
        <f t="shared" si="35"/>
        <v>-0.17752772250273238</v>
      </c>
      <c r="AE123" s="236">
        <f t="shared" si="35"/>
        <v>-0.16376070222223763</v>
      </c>
      <c r="AF123" s="238">
        <f t="shared" si="35"/>
        <v>-0.12528842774308965</v>
      </c>
    </row>
    <row r="124" spans="1:32">
      <c r="A124" s="48" t="s">
        <v>19</v>
      </c>
      <c r="B124" s="34">
        <v>22.804088497473632</v>
      </c>
      <c r="C124" s="66">
        <v>22.758108950366399</v>
      </c>
      <c r="D124" s="66">
        <v>22.731290413208399</v>
      </c>
      <c r="E124" s="66">
        <v>22.679724678628361</v>
      </c>
      <c r="F124" s="66">
        <v>22.621288403756484</v>
      </c>
      <c r="G124" s="66">
        <v>22.538991092289439</v>
      </c>
      <c r="H124" s="66">
        <v>22.46711144281501</v>
      </c>
      <c r="I124" s="100">
        <v>22.388004475081146</v>
      </c>
      <c r="J124" s="36">
        <v>180.98860795361887</v>
      </c>
      <c r="K124" s="205"/>
      <c r="L124" s="48" t="s">
        <v>19</v>
      </c>
      <c r="M124" s="79">
        <f t="shared" si="34"/>
        <v>-8.2080720947334189</v>
      </c>
      <c r="N124" s="207">
        <f t="shared" si="34"/>
        <v>-5.7805763217949639</v>
      </c>
      <c r="O124" s="207">
        <f t="shared" si="34"/>
        <v>-4.1514232463061767</v>
      </c>
      <c r="P124" s="207">
        <f t="shared" si="34"/>
        <v>-3.7085885003370613</v>
      </c>
      <c r="Q124" s="207">
        <f t="shared" si="34"/>
        <v>-6.6978870114743341</v>
      </c>
      <c r="R124" s="207">
        <f t="shared" si="34"/>
        <v>-6.7800402460511116</v>
      </c>
      <c r="S124" s="207">
        <f t="shared" si="34"/>
        <v>-6.7081605965766826</v>
      </c>
      <c r="T124" s="207">
        <f t="shared" si="34"/>
        <v>-7.6290536288428186</v>
      </c>
      <c r="U124" s="251">
        <f t="shared" si="34"/>
        <v>-49.663801646116582</v>
      </c>
      <c r="W124" s="48" t="s">
        <v>19</v>
      </c>
      <c r="X124" s="237">
        <f t="shared" si="35"/>
        <v>-0.35993861783349757</v>
      </c>
      <c r="Y124" s="211">
        <f t="shared" si="35"/>
        <v>-0.25400073153713848</v>
      </c>
      <c r="Z124" s="211">
        <f t="shared" si="35"/>
        <v>-0.18263033777853291</v>
      </c>
      <c r="AA124" s="211">
        <f t="shared" si="35"/>
        <v>-0.1635199965117633</v>
      </c>
      <c r="AB124" s="211">
        <f t="shared" si="35"/>
        <v>-0.29608777766884775</v>
      </c>
      <c r="AC124" s="211">
        <f t="shared" si="35"/>
        <v>-0.30081383049885291</v>
      </c>
      <c r="AD124" s="211">
        <f t="shared" si="35"/>
        <v>-0.29857690489722277</v>
      </c>
      <c r="AE124" s="211">
        <f t="shared" si="35"/>
        <v>-0.34076523601441555</v>
      </c>
      <c r="AF124" s="252">
        <f t="shared" si="35"/>
        <v>-0.27440291523123767</v>
      </c>
    </row>
    <row r="125" spans="1:32">
      <c r="A125" s="48" t="s">
        <v>20</v>
      </c>
      <c r="B125" s="34">
        <v>16.864288121229176</v>
      </c>
      <c r="C125" s="66">
        <v>16.827073864512183</v>
      </c>
      <c r="D125" s="66">
        <v>16.693861160680751</v>
      </c>
      <c r="E125" s="66">
        <v>16.532462425224264</v>
      </c>
      <c r="F125" s="66">
        <v>16.41178378850222</v>
      </c>
      <c r="G125" s="66">
        <v>16.309445704869347</v>
      </c>
      <c r="H125" s="66">
        <v>16.231871661556212</v>
      </c>
      <c r="I125" s="100">
        <v>16.15100302582994</v>
      </c>
      <c r="J125" s="36">
        <v>132.02178975240412</v>
      </c>
      <c r="K125" s="205"/>
      <c r="L125" s="48" t="s">
        <v>20</v>
      </c>
      <c r="M125" s="214">
        <f t="shared" si="34"/>
        <v>-6.1497755826306228</v>
      </c>
      <c r="N125" s="215">
        <f t="shared" si="34"/>
        <v>-5.8935899787978965</v>
      </c>
      <c r="O125" s="215">
        <f t="shared" si="34"/>
        <v>-5.7752486770626046</v>
      </c>
      <c r="P125" s="215">
        <f t="shared" si="34"/>
        <v>-5.8456163688040945</v>
      </c>
      <c r="Q125" s="215">
        <f t="shared" si="34"/>
        <v>-5.5157783630520321</v>
      </c>
      <c r="R125" s="215">
        <f t="shared" si="34"/>
        <v>-5.064351559153824</v>
      </c>
      <c r="S125" s="215">
        <f t="shared" si="34"/>
        <v>-5.2009915418147159</v>
      </c>
      <c r="T125" s="215">
        <f t="shared" si="34"/>
        <v>-5.3343369320624703</v>
      </c>
      <c r="U125" s="251">
        <f t="shared" si="34"/>
        <v>-44.779689003378294</v>
      </c>
      <c r="W125" s="48" t="s">
        <v>20</v>
      </c>
      <c r="X125" s="218">
        <f t="shared" si="35"/>
        <v>-0.36466262544987804</v>
      </c>
      <c r="Y125" s="219">
        <f t="shared" si="35"/>
        <v>-0.35024449445291311</v>
      </c>
      <c r="Z125" s="219">
        <f t="shared" si="35"/>
        <v>-0.34595044378739154</v>
      </c>
      <c r="AA125" s="219">
        <f t="shared" si="35"/>
        <v>-0.35358413153779167</v>
      </c>
      <c r="AB125" s="219">
        <f t="shared" si="35"/>
        <v>-0.33608646288140115</v>
      </c>
      <c r="AC125" s="219">
        <f t="shared" si="35"/>
        <v>-0.31051647314058084</v>
      </c>
      <c r="AD125" s="219">
        <f t="shared" si="35"/>
        <v>-0.32041847362142567</v>
      </c>
      <c r="AE125" s="219">
        <f t="shared" si="35"/>
        <v>-0.33027898784560833</v>
      </c>
      <c r="AF125" s="252">
        <f t="shared" si="35"/>
        <v>-0.33918407777503151</v>
      </c>
    </row>
    <row r="126" spans="1:32">
      <c r="A126" s="48" t="s">
        <v>21</v>
      </c>
      <c r="B126" s="34">
        <v>18.627423704815669</v>
      </c>
      <c r="C126" s="66">
        <v>18.294750587767471</v>
      </c>
      <c r="D126" s="66">
        <v>17.888555521277745</v>
      </c>
      <c r="E126" s="66">
        <v>17.427223536572594</v>
      </c>
      <c r="F126" s="66">
        <v>16.926287937261883</v>
      </c>
      <c r="G126" s="66">
        <v>16.462057398735165</v>
      </c>
      <c r="H126" s="66">
        <v>15.931908260914371</v>
      </c>
      <c r="I126" s="100">
        <v>15.339223681504</v>
      </c>
      <c r="J126" s="36">
        <v>136.89743062884892</v>
      </c>
      <c r="K126" s="205"/>
      <c r="L126" s="48" t="s">
        <v>21</v>
      </c>
      <c r="M126" s="214">
        <f t="shared" si="34"/>
        <v>-0.76412990787627066</v>
      </c>
      <c r="N126" s="215">
        <f t="shared" si="34"/>
        <v>-2.2479779020531829</v>
      </c>
      <c r="O126" s="215">
        <f t="shared" si="34"/>
        <v>-3.5663538201342249</v>
      </c>
      <c r="P126" s="215">
        <f t="shared" si="34"/>
        <v>-3.5403968059193343</v>
      </c>
      <c r="Q126" s="215">
        <f t="shared" si="34"/>
        <v>-2.2148745143414708</v>
      </c>
      <c r="R126" s="215">
        <f t="shared" si="34"/>
        <v>-0.23191827744016535</v>
      </c>
      <c r="S126" s="215">
        <f t="shared" si="34"/>
        <v>0.13757034090011011</v>
      </c>
      <c r="T126" s="215">
        <f t="shared" si="34"/>
        <v>0.62200568940262535</v>
      </c>
      <c r="U126" s="251">
        <f t="shared" si="34"/>
        <v>-11.806075197461936</v>
      </c>
      <c r="W126" s="48" t="s">
        <v>21</v>
      </c>
      <c r="X126" s="218">
        <f t="shared" si="35"/>
        <v>-4.1021770910741856E-2</v>
      </c>
      <c r="Y126" s="219">
        <f t="shared" si="35"/>
        <v>-0.12287556975804097</v>
      </c>
      <c r="Z126" s="219">
        <f t="shared" si="35"/>
        <v>-0.19936510893191936</v>
      </c>
      <c r="AA126" s="219">
        <f t="shared" si="35"/>
        <v>-0.20315323312916103</v>
      </c>
      <c r="AB126" s="219">
        <f t="shared" si="35"/>
        <v>-0.13085412008533778</v>
      </c>
      <c r="AC126" s="219">
        <f t="shared" si="35"/>
        <v>-1.4088049374556573E-2</v>
      </c>
      <c r="AD126" s="219">
        <f t="shared" si="35"/>
        <v>8.6348941160808955E-3</v>
      </c>
      <c r="AE126" s="219">
        <f t="shared" si="35"/>
        <v>4.0550011025175824E-2</v>
      </c>
      <c r="AF126" s="252">
        <f t="shared" si="35"/>
        <v>-8.6240297887475448E-2</v>
      </c>
    </row>
    <row r="127" spans="1:32">
      <c r="A127" s="48" t="s">
        <v>22</v>
      </c>
      <c r="B127" s="34">
        <v>9.4751090474044783</v>
      </c>
      <c r="C127" s="66">
        <v>9.4155552124086839</v>
      </c>
      <c r="D127" s="66">
        <v>9.3510405243474342</v>
      </c>
      <c r="E127" s="66">
        <v>9.2961489088878775</v>
      </c>
      <c r="F127" s="66">
        <v>9.255436644895676</v>
      </c>
      <c r="G127" s="66">
        <v>9.224494927213561</v>
      </c>
      <c r="H127" s="66">
        <v>9.2525824211412697</v>
      </c>
      <c r="I127" s="100">
        <v>9.3337315591342449</v>
      </c>
      <c r="J127" s="36">
        <v>74.604099245433218</v>
      </c>
      <c r="K127" s="205"/>
      <c r="L127" s="48" t="s">
        <v>22</v>
      </c>
      <c r="M127" s="214">
        <f t="shared" si="34"/>
        <v>-0.36162736882040036</v>
      </c>
      <c r="N127" s="215">
        <f t="shared" si="34"/>
        <v>0.61501655382508424</v>
      </c>
      <c r="O127" s="215">
        <f t="shared" si="34"/>
        <v>1.0431767494853936</v>
      </c>
      <c r="P127" s="215">
        <f t="shared" si="34"/>
        <v>1.1908632962711181</v>
      </c>
      <c r="Q127" s="215">
        <f t="shared" si="34"/>
        <v>1.5988830475443443</v>
      </c>
      <c r="R127" s="215">
        <f t="shared" si="34"/>
        <v>1.275505072786439</v>
      </c>
      <c r="S127" s="215">
        <f t="shared" si="34"/>
        <v>1.1474175788587306</v>
      </c>
      <c r="T127" s="215">
        <f t="shared" si="34"/>
        <v>0.96626844086575581</v>
      </c>
      <c r="U127" s="251">
        <f t="shared" si="34"/>
        <v>7.4755033708164689</v>
      </c>
      <c r="W127" s="48" t="s">
        <v>22</v>
      </c>
      <c r="X127" s="218">
        <f t="shared" si="35"/>
        <v>-3.8166037668923833E-2</v>
      </c>
      <c r="Y127" s="219">
        <f t="shared" si="35"/>
        <v>6.5319202102342183E-2</v>
      </c>
      <c r="Z127" s="219">
        <f t="shared" si="35"/>
        <v>0.11155729105966976</v>
      </c>
      <c r="AA127" s="219">
        <f t="shared" si="35"/>
        <v>0.12810286366352797</v>
      </c>
      <c r="AB127" s="219">
        <f t="shared" si="35"/>
        <v>0.17275068793497925</v>
      </c>
      <c r="AC127" s="219">
        <f t="shared" si="35"/>
        <v>0.13827370309712234</v>
      </c>
      <c r="AD127" s="219">
        <f t="shared" si="35"/>
        <v>0.12401052232044869</v>
      </c>
      <c r="AE127" s="219">
        <f t="shared" si="35"/>
        <v>0.1035243444429403</v>
      </c>
      <c r="AF127" s="252">
        <f t="shared" si="35"/>
        <v>0.10020231389998413</v>
      </c>
    </row>
    <row r="128" spans="1:32">
      <c r="A128" s="48" t="s">
        <v>23</v>
      </c>
      <c r="B128" s="34">
        <v>0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66">
        <v>0</v>
      </c>
      <c r="I128" s="100">
        <v>0</v>
      </c>
      <c r="J128" s="36">
        <v>0</v>
      </c>
      <c r="K128" s="205"/>
      <c r="L128" s="48" t="s">
        <v>23</v>
      </c>
      <c r="M128" s="214">
        <f t="shared" si="34"/>
        <v>0</v>
      </c>
      <c r="N128" s="215">
        <f t="shared" si="34"/>
        <v>0</v>
      </c>
      <c r="O128" s="215">
        <f t="shared" si="34"/>
        <v>0</v>
      </c>
      <c r="P128" s="215">
        <f t="shared" si="34"/>
        <v>0</v>
      </c>
      <c r="Q128" s="215">
        <f t="shared" si="34"/>
        <v>0</v>
      </c>
      <c r="R128" s="215">
        <f t="shared" si="34"/>
        <v>0</v>
      </c>
      <c r="S128" s="215">
        <f t="shared" si="34"/>
        <v>0</v>
      </c>
      <c r="T128" s="215">
        <f t="shared" si="34"/>
        <v>0</v>
      </c>
      <c r="U128" s="251">
        <f t="shared" si="34"/>
        <v>0</v>
      </c>
      <c r="W128" s="48" t="s">
        <v>23</v>
      </c>
      <c r="X128" s="218" t="e">
        <f t="shared" si="35"/>
        <v>#DIV/0!</v>
      </c>
      <c r="Y128" s="219" t="e">
        <f t="shared" si="35"/>
        <v>#DIV/0!</v>
      </c>
      <c r="Z128" s="219" t="e">
        <f t="shared" si="35"/>
        <v>#DIV/0!</v>
      </c>
      <c r="AA128" s="219" t="e">
        <f t="shared" si="35"/>
        <v>#DIV/0!</v>
      </c>
      <c r="AB128" s="219" t="e">
        <f t="shared" si="35"/>
        <v>#DIV/0!</v>
      </c>
      <c r="AC128" s="219" t="e">
        <f t="shared" si="35"/>
        <v>#DIV/0!</v>
      </c>
      <c r="AD128" s="219" t="e">
        <f t="shared" si="35"/>
        <v>#DIV/0!</v>
      </c>
      <c r="AE128" s="219" t="e">
        <f t="shared" si="35"/>
        <v>#DIV/0!</v>
      </c>
      <c r="AF128" s="252" t="e">
        <f t="shared" si="35"/>
        <v>#DIV/0!</v>
      </c>
    </row>
    <row r="129" spans="1:32">
      <c r="A129" s="48" t="s">
        <v>24</v>
      </c>
      <c r="B129" s="34">
        <v>12.510394917028535</v>
      </c>
      <c r="C129" s="66">
        <v>13.290155297952012</v>
      </c>
      <c r="D129" s="66">
        <v>14.190195622035027</v>
      </c>
      <c r="E129" s="66">
        <v>14.860897269930991</v>
      </c>
      <c r="F129" s="66">
        <v>11.718513277358458</v>
      </c>
      <c r="G129" s="66">
        <v>11.23059216125745</v>
      </c>
      <c r="H129" s="66">
        <v>10.699275077299772</v>
      </c>
      <c r="I129" s="100">
        <v>10.170937661627237</v>
      </c>
      <c r="J129" s="36">
        <v>98.670961284489479</v>
      </c>
      <c r="K129" s="205"/>
      <c r="L129" s="48" t="s">
        <v>24</v>
      </c>
      <c r="M129" s="214">
        <f t="shared" si="34"/>
        <v>-5.0784268674613644</v>
      </c>
      <c r="N129" s="215">
        <f t="shared" si="34"/>
        <v>-5.943685277172789</v>
      </c>
      <c r="O129" s="215">
        <f t="shared" si="34"/>
        <v>-7.1594314693946561</v>
      </c>
      <c r="P129" s="215">
        <f t="shared" si="34"/>
        <v>-7.9014309737976918</v>
      </c>
      <c r="Q129" s="215">
        <f t="shared" si="34"/>
        <v>-5.6916689463098695</v>
      </c>
      <c r="R129" s="215">
        <f t="shared" si="34"/>
        <v>-5.7342998302088617</v>
      </c>
      <c r="S129" s="215">
        <f t="shared" si="34"/>
        <v>-5.5029827462511838</v>
      </c>
      <c r="T129" s="215">
        <f t="shared" si="34"/>
        <v>-5.0746453305786492</v>
      </c>
      <c r="U129" s="251">
        <f t="shared" si="34"/>
        <v>-48.086571441175067</v>
      </c>
      <c r="W129" s="48" t="s">
        <v>24</v>
      </c>
      <c r="X129" s="218">
        <f t="shared" si="35"/>
        <v>-0.40593657523543558</v>
      </c>
      <c r="Y129" s="219">
        <f t="shared" si="35"/>
        <v>-0.44722466697501267</v>
      </c>
      <c r="Z129" s="219">
        <f t="shared" si="35"/>
        <v>-0.50453366959066037</v>
      </c>
      <c r="AA129" s="219">
        <f t="shared" si="35"/>
        <v>-0.53169272556544522</v>
      </c>
      <c r="AB129" s="219">
        <f t="shared" si="35"/>
        <v>-0.48569889469740513</v>
      </c>
      <c r="AC129" s="219">
        <f t="shared" si="35"/>
        <v>-0.51059639134529955</v>
      </c>
      <c r="AD129" s="219">
        <f t="shared" si="35"/>
        <v>-0.51433229882337017</v>
      </c>
      <c r="AE129" s="219">
        <f t="shared" si="35"/>
        <v>-0.49893584047065748</v>
      </c>
      <c r="AF129" s="252">
        <f t="shared" si="35"/>
        <v>-0.48734268740456677</v>
      </c>
    </row>
    <row r="130" spans="1:32">
      <c r="A130" s="37" t="s">
        <v>57</v>
      </c>
      <c r="B130" s="38">
        <v>5.5244899286598086</v>
      </c>
      <c r="C130" s="113">
        <v>5.3734236270920697</v>
      </c>
      <c r="D130" s="113">
        <v>6.1963910936432613</v>
      </c>
      <c r="E130" s="113">
        <v>6.7819821493572929</v>
      </c>
      <c r="F130" s="113">
        <v>3.5562164186206724</v>
      </c>
      <c r="G130" s="113">
        <v>2.9802241494271184</v>
      </c>
      <c r="H130" s="113">
        <v>2.3577672719728393</v>
      </c>
      <c r="I130" s="114">
        <v>1.7460825673560041</v>
      </c>
      <c r="J130" s="39">
        <v>34.516577206129064</v>
      </c>
      <c r="K130" s="205"/>
      <c r="L130" s="37" t="s">
        <v>57</v>
      </c>
      <c r="M130" s="222">
        <f t="shared" si="34"/>
        <v>-1.3673332959377955</v>
      </c>
      <c r="N130" s="230">
        <f t="shared" si="34"/>
        <v>-0.79781203228687314</v>
      </c>
      <c r="O130" s="230">
        <f t="shared" si="34"/>
        <v>-1.6716943443178076</v>
      </c>
      <c r="P130" s="230">
        <f t="shared" si="34"/>
        <v>-2.8314048423744405</v>
      </c>
      <c r="Q130" s="230">
        <f t="shared" si="34"/>
        <v>-0.22566441862067244</v>
      </c>
      <c r="R130" s="230">
        <f t="shared" si="34"/>
        <v>-0.18022414942711862</v>
      </c>
      <c r="S130" s="230">
        <f t="shared" si="34"/>
        <v>0.14223272802716069</v>
      </c>
      <c r="T130" s="230">
        <f t="shared" si="34"/>
        <v>0.65391743264399582</v>
      </c>
      <c r="U130" s="253">
        <f t="shared" si="34"/>
        <v>-6.2779829222935462</v>
      </c>
      <c r="W130" s="37" t="s">
        <v>57</v>
      </c>
      <c r="X130" s="226">
        <f t="shared" si="35"/>
        <v>-0.24750398925417141</v>
      </c>
      <c r="Y130" s="232">
        <f t="shared" si="35"/>
        <v>-0.14847368970955754</v>
      </c>
      <c r="Z130" s="232">
        <f t="shared" si="35"/>
        <v>-0.2697851570461331</v>
      </c>
      <c r="AA130" s="232">
        <f t="shared" si="35"/>
        <v>-0.41748927968540345</v>
      </c>
      <c r="AB130" s="232">
        <f t="shared" si="35"/>
        <v>-6.3456323253858513E-2</v>
      </c>
      <c r="AC130" s="232">
        <f t="shared" si="35"/>
        <v>-6.0473353811914682E-2</v>
      </c>
      <c r="AD130" s="232">
        <f t="shared" si="35"/>
        <v>6.0325177008733695E-2</v>
      </c>
      <c r="AE130" s="232">
        <f t="shared" si="35"/>
        <v>0.37450544714743167</v>
      </c>
      <c r="AF130" s="254">
        <f t="shared" si="35"/>
        <v>-0.18188312487655273</v>
      </c>
    </row>
    <row r="131" spans="1:32">
      <c r="A131" s="52" t="s">
        <v>26</v>
      </c>
      <c r="B131" s="41">
        <v>80.281304287951485</v>
      </c>
      <c r="C131" s="41">
        <v>80.585643913006749</v>
      </c>
      <c r="D131" s="117">
        <v>80.854943241549364</v>
      </c>
      <c r="E131" s="117">
        <v>80.796456819244085</v>
      </c>
      <c r="F131" s="117">
        <v>76.933310051774711</v>
      </c>
      <c r="G131" s="117">
        <v>75.76558128436497</v>
      </c>
      <c r="H131" s="117">
        <v>74.582748863726636</v>
      </c>
      <c r="I131" s="117">
        <v>73.382900403176563</v>
      </c>
      <c r="J131" s="41">
        <v>623.18288886479445</v>
      </c>
      <c r="K131" s="205"/>
      <c r="L131" s="52" t="s">
        <v>26</v>
      </c>
      <c r="M131" s="255">
        <f t="shared" si="34"/>
        <v>-20.562031821522076</v>
      </c>
      <c r="N131" s="256">
        <f t="shared" si="34"/>
        <v>-19.250812925993749</v>
      </c>
      <c r="O131" s="255">
        <f t="shared" si="34"/>
        <v>-19.609280463412276</v>
      </c>
      <c r="P131" s="257">
        <f t="shared" si="34"/>
        <v>-19.805169352587058</v>
      </c>
      <c r="Q131" s="255">
        <f t="shared" si="34"/>
        <v>-18.521325787633359</v>
      </c>
      <c r="R131" s="255">
        <f t="shared" si="34"/>
        <v>-16.535104840067532</v>
      </c>
      <c r="S131" s="255">
        <f t="shared" si="34"/>
        <v>-16.127146964883742</v>
      </c>
      <c r="T131" s="255">
        <f t="shared" si="34"/>
        <v>-16.449761761215555</v>
      </c>
      <c r="U131" s="255">
        <f t="shared" si="34"/>
        <v>-146.86063391731528</v>
      </c>
      <c r="W131" s="52" t="s">
        <v>26</v>
      </c>
      <c r="X131" s="258">
        <f t="shared" si="35"/>
        <v>-0.25612478526470578</v>
      </c>
      <c r="Y131" s="259">
        <f t="shared" si="35"/>
        <v>-0.23888638212998897</v>
      </c>
      <c r="Z131" s="258">
        <f t="shared" si="35"/>
        <v>-0.24252420046639214</v>
      </c>
      <c r="AA131" s="260">
        <f t="shared" si="35"/>
        <v>-0.24512423108967157</v>
      </c>
      <c r="AB131" s="258">
        <f t="shared" si="35"/>
        <v>-0.24074520874207603</v>
      </c>
      <c r="AC131" s="258">
        <f t="shared" si="35"/>
        <v>-0.21824032178948949</v>
      </c>
      <c r="AD131" s="258">
        <f t="shared" si="35"/>
        <v>-0.21623159793091495</v>
      </c>
      <c r="AE131" s="258">
        <f t="shared" si="35"/>
        <v>-0.22416341778313639</v>
      </c>
      <c r="AF131" s="258">
        <f t="shared" si="35"/>
        <v>-0.23566217324233707</v>
      </c>
    </row>
    <row r="132" spans="1:32">
      <c r="A132" s="48" t="s">
        <v>27</v>
      </c>
      <c r="B132" s="34">
        <v>21.4769711955594</v>
      </c>
      <c r="C132" s="66">
        <v>21.633450656338901</v>
      </c>
      <c r="D132" s="66">
        <v>21.740653543159979</v>
      </c>
      <c r="E132" s="66">
        <v>21.802864752864682</v>
      </c>
      <c r="F132" s="66">
        <v>21.86363559670313</v>
      </c>
      <c r="G132" s="66">
        <v>21.925193173849699</v>
      </c>
      <c r="H132" s="66">
        <v>21.98171535400142</v>
      </c>
      <c r="I132" s="100">
        <v>22.042405586224117</v>
      </c>
      <c r="J132" s="36">
        <v>174.46688985870131</v>
      </c>
      <c r="K132" s="205"/>
      <c r="L132" s="48" t="s">
        <v>27</v>
      </c>
      <c r="M132" s="261">
        <f t="shared" si="34"/>
        <v>4.2320969408307754</v>
      </c>
      <c r="N132" s="207">
        <f t="shared" si="34"/>
        <v>4.6709606631416278</v>
      </c>
      <c r="O132" s="207">
        <f t="shared" si="34"/>
        <v>0.12624156669484066</v>
      </c>
      <c r="P132" s="207">
        <f t="shared" si="34"/>
        <v>0.63308822454730418</v>
      </c>
      <c r="Q132" s="207">
        <f t="shared" si="34"/>
        <v>1.245945807060302</v>
      </c>
      <c r="R132" s="207">
        <f t="shared" si="34"/>
        <v>0.90698016984897123</v>
      </c>
      <c r="S132" s="207">
        <f t="shared" si="34"/>
        <v>0.43958297473842833</v>
      </c>
      <c r="T132" s="207">
        <f t="shared" si="34"/>
        <v>-2.1107257484271003E-2</v>
      </c>
      <c r="U132" s="262">
        <f t="shared" si="34"/>
        <v>12.233789089378007</v>
      </c>
      <c r="W132" s="48" t="s">
        <v>27</v>
      </c>
      <c r="X132" s="218">
        <f t="shared" si="35"/>
        <v>0.19705278282935015</v>
      </c>
      <c r="Y132" s="211">
        <f t="shared" si="35"/>
        <v>0.21591380576972224</v>
      </c>
      <c r="Z132" s="211">
        <f t="shared" si="35"/>
        <v>5.8067052328589558E-3</v>
      </c>
      <c r="AA132" s="211">
        <f t="shared" si="35"/>
        <v>2.903692848271797E-2</v>
      </c>
      <c r="AB132" s="211">
        <f t="shared" si="35"/>
        <v>5.6987128309446446E-2</v>
      </c>
      <c r="AC132" s="211">
        <f t="shared" si="35"/>
        <v>4.1367032101260186E-2</v>
      </c>
      <c r="AD132" s="211">
        <f t="shared" si="35"/>
        <v>1.9997664770889198E-2</v>
      </c>
      <c r="AE132" s="211">
        <f t="shared" si="35"/>
        <v>-9.5757504332750522E-4</v>
      </c>
      <c r="AF132" s="252">
        <f t="shared" si="35"/>
        <v>7.0120978824612559E-2</v>
      </c>
    </row>
    <row r="133" spans="1:32">
      <c r="A133" s="48" t="s">
        <v>28</v>
      </c>
      <c r="B133" s="34">
        <v>3.6913945978799099</v>
      </c>
      <c r="C133" s="66">
        <v>4.4160923100114955</v>
      </c>
      <c r="D133" s="66">
        <v>4.6540778784339052</v>
      </c>
      <c r="E133" s="66">
        <v>4.8011732091167874</v>
      </c>
      <c r="F133" s="66">
        <v>4.7537277797546462</v>
      </c>
      <c r="G133" s="66">
        <v>4.7069951776141394</v>
      </c>
      <c r="H133" s="66">
        <v>4.770138593382093</v>
      </c>
      <c r="I133" s="100">
        <v>4.3974549917824746</v>
      </c>
      <c r="J133" s="36">
        <v>36.191054537975454</v>
      </c>
      <c r="K133" s="205"/>
      <c r="L133" s="48" t="s">
        <v>28</v>
      </c>
      <c r="M133" s="261">
        <f t="shared" si="34"/>
        <v>-1.0481300101143636</v>
      </c>
      <c r="N133" s="215">
        <f t="shared" si="34"/>
        <v>-1.8540925593621451</v>
      </c>
      <c r="O133" s="215">
        <f t="shared" si="34"/>
        <v>-2.7543021582634868</v>
      </c>
      <c r="P133" s="215">
        <f t="shared" si="34"/>
        <v>-2.770453311122989</v>
      </c>
      <c r="Q133" s="215">
        <f t="shared" si="34"/>
        <v>-3.0140868083266454</v>
      </c>
      <c r="R133" s="215">
        <f t="shared" si="34"/>
        <v>-2.2069951776141394</v>
      </c>
      <c r="S133" s="215">
        <f t="shared" si="34"/>
        <v>-2.270138593382093</v>
      </c>
      <c r="T133" s="215">
        <f t="shared" si="34"/>
        <v>-1.8974549917824746</v>
      </c>
      <c r="U133" s="262">
        <f t="shared" si="34"/>
        <v>-17.81565360996834</v>
      </c>
      <c r="W133" s="48" t="s">
        <v>28</v>
      </c>
      <c r="X133" s="218">
        <f t="shared" si="35"/>
        <v>-0.28393876144163493</v>
      </c>
      <c r="Y133" s="219">
        <f t="shared" si="35"/>
        <v>-0.41984914019093927</v>
      </c>
      <c r="Z133" s="219">
        <f t="shared" si="35"/>
        <v>-0.59180405446724238</v>
      </c>
      <c r="AA133" s="219">
        <f t="shared" si="35"/>
        <v>-0.57703673465940941</v>
      </c>
      <c r="AB133" s="219">
        <f t="shared" si="35"/>
        <v>-0.63404699384831231</v>
      </c>
      <c r="AC133" s="219">
        <f t="shared" si="35"/>
        <v>-0.46887559777208254</v>
      </c>
      <c r="AD133" s="219">
        <f t="shared" si="35"/>
        <v>-0.47590621298332841</v>
      </c>
      <c r="AE133" s="219">
        <f t="shared" si="35"/>
        <v>-0.43148934902761921</v>
      </c>
      <c r="AF133" s="252">
        <f t="shared" si="35"/>
        <v>-0.49226677247755479</v>
      </c>
    </row>
    <row r="134" spans="1:32">
      <c r="A134" s="56" t="s">
        <v>29</v>
      </c>
      <c r="B134" s="34">
        <v>25.16836579343931</v>
      </c>
      <c r="C134" s="140">
        <v>26.049542966350398</v>
      </c>
      <c r="D134" s="140">
        <v>26.394731421593885</v>
      </c>
      <c r="E134" s="140">
        <v>26.604037961981469</v>
      </c>
      <c r="F134" s="140">
        <v>26.617363376457778</v>
      </c>
      <c r="G134" s="140">
        <v>26.632188351463839</v>
      </c>
      <c r="H134" s="140">
        <v>26.751853947383513</v>
      </c>
      <c r="I134" s="140">
        <v>26.439860578006595</v>
      </c>
      <c r="J134" s="49">
        <v>210.65794439667675</v>
      </c>
      <c r="K134" s="205"/>
      <c r="L134" s="56" t="s">
        <v>29</v>
      </c>
      <c r="M134" s="214">
        <f t="shared" si="34"/>
        <v>3.1839669307164122</v>
      </c>
      <c r="N134" s="257">
        <f t="shared" si="34"/>
        <v>2.8168681037794805</v>
      </c>
      <c r="O134" s="257">
        <f t="shared" si="34"/>
        <v>-2.6280605915686479</v>
      </c>
      <c r="P134" s="257">
        <f t="shared" si="34"/>
        <v>-2.1373650865756844</v>
      </c>
      <c r="Q134" s="257">
        <f t="shared" si="34"/>
        <v>-1.768141001266347</v>
      </c>
      <c r="R134" s="257">
        <f t="shared" si="34"/>
        <v>-1.3000150077651682</v>
      </c>
      <c r="S134" s="257">
        <f t="shared" si="34"/>
        <v>-1.8305556186436647</v>
      </c>
      <c r="T134" s="257">
        <f t="shared" si="34"/>
        <v>-1.9185622492667491</v>
      </c>
      <c r="U134" s="79">
        <f t="shared" si="34"/>
        <v>-5.5818645205903294</v>
      </c>
      <c r="W134" s="56" t="s">
        <v>29</v>
      </c>
      <c r="X134" s="218">
        <f t="shared" si="35"/>
        <v>0.12650670118384816</v>
      </c>
      <c r="Y134" s="260">
        <f t="shared" si="35"/>
        <v>0.10813502975534663</v>
      </c>
      <c r="Z134" s="260">
        <f t="shared" si="35"/>
        <v>-9.9567620128106174E-2</v>
      </c>
      <c r="AA134" s="260">
        <f t="shared" si="35"/>
        <v>-8.0339875083251966E-2</v>
      </c>
      <c r="AB134" s="260">
        <f t="shared" si="35"/>
        <v>-6.6428104702143873E-2</v>
      </c>
      <c r="AC134" s="260">
        <f t="shared" si="35"/>
        <v>-4.8813675789947351E-2</v>
      </c>
      <c r="AD134" s="260">
        <f t="shared" si="35"/>
        <v>-6.8427243294766252E-2</v>
      </c>
      <c r="AE134" s="260">
        <f t="shared" si="35"/>
        <v>-7.256325136837756E-2</v>
      </c>
      <c r="AF134" s="237">
        <f t="shared" si="35"/>
        <v>-2.6497289416626369E-2</v>
      </c>
    </row>
    <row r="135" spans="1:32">
      <c r="A135" s="57" t="s">
        <v>30</v>
      </c>
      <c r="B135" s="53">
        <v>105.73711563190921</v>
      </c>
      <c r="C135" s="53">
        <v>106.92263242987556</v>
      </c>
      <c r="D135" s="53">
        <v>107.53712021366162</v>
      </c>
      <c r="E135" s="53">
        <v>107.68794033174395</v>
      </c>
      <c r="F135" s="53">
        <v>103.83811897875088</v>
      </c>
      <c r="G135" s="53">
        <v>102.68521518634719</v>
      </c>
      <c r="H135" s="53">
        <v>101.62204836162854</v>
      </c>
      <c r="I135" s="53">
        <v>100.11020653170156</v>
      </c>
      <c r="J135" s="53">
        <v>836.14039766561848</v>
      </c>
      <c r="K135" s="205"/>
      <c r="L135" s="57" t="s">
        <v>30</v>
      </c>
      <c r="M135" s="255">
        <f t="shared" si="34"/>
        <v>-17.665510441324074</v>
      </c>
      <c r="N135" s="257">
        <f t="shared" si="34"/>
        <v>-16.721390372732685</v>
      </c>
      <c r="O135" s="255">
        <f t="shared" si="34"/>
        <v>-22.524786605499301</v>
      </c>
      <c r="P135" s="255">
        <f t="shared" si="34"/>
        <v>-22.229979989681127</v>
      </c>
      <c r="Q135" s="255">
        <f t="shared" si="34"/>
        <v>-20.576912339418101</v>
      </c>
      <c r="R135" s="255">
        <f t="shared" si="34"/>
        <v>-18.122565398351085</v>
      </c>
      <c r="S135" s="255">
        <f t="shared" si="34"/>
        <v>-18.245148134045806</v>
      </c>
      <c r="T135" s="255">
        <f t="shared" si="34"/>
        <v>-18.65576956100071</v>
      </c>
      <c r="U135" s="255">
        <f t="shared" si="34"/>
        <v>-154.74206284205286</v>
      </c>
      <c r="W135" s="57" t="s">
        <v>30</v>
      </c>
      <c r="X135" s="258">
        <f t="shared" si="35"/>
        <v>-0.16707009961214603</v>
      </c>
      <c r="Y135" s="260">
        <f t="shared" si="35"/>
        <v>-0.156387754329742</v>
      </c>
      <c r="Z135" s="258">
        <f t="shared" si="35"/>
        <v>-0.20946057101720425</v>
      </c>
      <c r="AA135" s="258">
        <f t="shared" si="35"/>
        <v>-0.2064296143207805</v>
      </c>
      <c r="AB135" s="258">
        <f t="shared" si="35"/>
        <v>-0.19816337720475172</v>
      </c>
      <c r="AC135" s="258">
        <f t="shared" si="35"/>
        <v>-0.17648660876313402</v>
      </c>
      <c r="AD135" s="258">
        <f t="shared" si="35"/>
        <v>-0.17953926759200212</v>
      </c>
      <c r="AE135" s="258">
        <f t="shared" si="35"/>
        <v>-0.18635232317788747</v>
      </c>
      <c r="AF135" s="258">
        <f t="shared" si="35"/>
        <v>-0.18506708116731357</v>
      </c>
    </row>
    <row r="136" spans="1:32">
      <c r="A136" s="145" t="s">
        <v>51</v>
      </c>
      <c r="B136" s="34">
        <v>0.57489110103680929</v>
      </c>
      <c r="C136" s="34">
        <v>0.57489110103680929</v>
      </c>
      <c r="D136" s="34">
        <v>0.57489110103680929</v>
      </c>
      <c r="E136" s="34">
        <v>0.57489110103680929</v>
      </c>
      <c r="F136" s="34">
        <v>0.57489110103680929</v>
      </c>
      <c r="G136" s="34">
        <v>0.57489110103680929</v>
      </c>
      <c r="H136" s="34">
        <v>0.57489110103680929</v>
      </c>
      <c r="I136" s="34">
        <v>0.57489110103680929</v>
      </c>
      <c r="J136" s="34">
        <v>4.5991288082944735</v>
      </c>
      <c r="K136" s="263"/>
      <c r="L136" s="145" t="s">
        <v>51</v>
      </c>
      <c r="M136" s="264">
        <f t="shared" si="34"/>
        <v>-0.55522250125156036</v>
      </c>
      <c r="N136" s="265">
        <f t="shared" si="34"/>
        <v>-0.50527154259525087</v>
      </c>
      <c r="O136" s="265">
        <f t="shared" si="34"/>
        <v>-0.50527154259525087</v>
      </c>
      <c r="P136" s="265">
        <f t="shared" si="34"/>
        <v>-0.32161165848865686</v>
      </c>
      <c r="Q136" s="265">
        <f t="shared" si="34"/>
        <v>-0.57419341103680932</v>
      </c>
      <c r="R136" s="265">
        <f t="shared" si="34"/>
        <v>-0.57489110103680929</v>
      </c>
      <c r="S136" s="265">
        <f t="shared" si="34"/>
        <v>-0.57489110103680929</v>
      </c>
      <c r="T136" s="265">
        <f t="shared" si="34"/>
        <v>-0.57489110103680929</v>
      </c>
      <c r="U136" s="266">
        <f t="shared" si="34"/>
        <v>-4.5991288082944735</v>
      </c>
      <c r="V136" s="153"/>
      <c r="W136" s="145" t="s">
        <v>51</v>
      </c>
      <c r="X136" s="267">
        <f t="shared" si="35"/>
        <v>-0.96578725997014592</v>
      </c>
      <c r="Y136" s="268">
        <f t="shared" si="35"/>
        <v>-0.87889957190848778</v>
      </c>
      <c r="Z136" s="268">
        <f t="shared" si="35"/>
        <v>-0.87889957190848778</v>
      </c>
      <c r="AA136" s="268">
        <f t="shared" si="35"/>
        <v>-0.55943057373585026</v>
      </c>
      <c r="AB136" s="268">
        <f t="shared" si="35"/>
        <v>-0.99878639624314636</v>
      </c>
      <c r="AC136" s="268">
        <f t="shared" si="35"/>
        <v>-1</v>
      </c>
      <c r="AD136" s="268">
        <f t="shared" si="35"/>
        <v>-1</v>
      </c>
      <c r="AE136" s="268">
        <f t="shared" si="35"/>
        <v>-1</v>
      </c>
      <c r="AF136" s="269">
        <f t="shared" si="35"/>
        <v>-1</v>
      </c>
    </row>
    <row r="137" spans="1:32">
      <c r="A137" s="60" t="s">
        <v>32</v>
      </c>
      <c r="B137" s="86">
        <f t="shared" ref="B137:J137" si="36">+B135+B123+B119</f>
        <v>265.73460455819395</v>
      </c>
      <c r="C137" s="86">
        <f t="shared" si="36"/>
        <v>273.45713404351432</v>
      </c>
      <c r="D137" s="86">
        <f t="shared" si="36"/>
        <v>277.28240702580825</v>
      </c>
      <c r="E137" s="86">
        <f t="shared" si="36"/>
        <v>273.74904541374423</v>
      </c>
      <c r="F137" s="86">
        <f t="shared" si="36"/>
        <v>257.05816202199333</v>
      </c>
      <c r="G137" s="86">
        <f t="shared" si="36"/>
        <v>254.92647203422942</v>
      </c>
      <c r="H137" s="86">
        <f t="shared" si="36"/>
        <v>255.02860723254804</v>
      </c>
      <c r="I137" s="86">
        <f t="shared" si="36"/>
        <v>254.08023019265423</v>
      </c>
      <c r="J137" s="86">
        <f t="shared" si="36"/>
        <v>2111.3166625226859</v>
      </c>
      <c r="K137" s="205"/>
      <c r="L137" s="60" t="s">
        <v>32</v>
      </c>
      <c r="M137" s="270">
        <f t="shared" si="34"/>
        <v>-37.274490296654278</v>
      </c>
      <c r="N137" s="270">
        <f t="shared" si="34"/>
        <v>-30.078939503254503</v>
      </c>
      <c r="O137" s="270">
        <f t="shared" si="34"/>
        <v>-36.443230493857698</v>
      </c>
      <c r="P137" s="270">
        <f t="shared" si="34"/>
        <v>-38.505716857469224</v>
      </c>
      <c r="Q137" s="270">
        <f t="shared" si="34"/>
        <v>-30.173417187569697</v>
      </c>
      <c r="R137" s="270">
        <f t="shared" si="34"/>
        <v>-11.284283694748638</v>
      </c>
      <c r="S137" s="270">
        <f t="shared" si="34"/>
        <v>-21.31791916901318</v>
      </c>
      <c r="T137" s="270">
        <f t="shared" si="34"/>
        <v>-24.796132129332562</v>
      </c>
      <c r="U137" s="270">
        <f t="shared" si="34"/>
        <v>-229.87412933189989</v>
      </c>
      <c r="W137" s="60" t="s">
        <v>32</v>
      </c>
      <c r="X137" s="271">
        <f t="shared" si="35"/>
        <v>-0.14026961358166445</v>
      </c>
      <c r="Y137" s="271">
        <f t="shared" si="35"/>
        <v>-0.10999508061277401</v>
      </c>
      <c r="Z137" s="271">
        <f t="shared" si="35"/>
        <v>-0.13143001348248437</v>
      </c>
      <c r="AA137" s="271">
        <f t="shared" si="35"/>
        <v>-0.14066064339794024</v>
      </c>
      <c r="AB137" s="271">
        <f t="shared" si="35"/>
        <v>-0.11737972819158385</v>
      </c>
      <c r="AC137" s="271">
        <f t="shared" si="35"/>
        <v>-4.4264856469019336E-2</v>
      </c>
      <c r="AD137" s="271">
        <f t="shared" si="35"/>
        <v>-8.3590305418460048E-2</v>
      </c>
      <c r="AE137" s="271">
        <f t="shared" si="35"/>
        <v>-9.7591741437462881E-2</v>
      </c>
      <c r="AF137" s="271">
        <f t="shared" si="35"/>
        <v>-0.10887714449107651</v>
      </c>
    </row>
    <row r="138" spans="1:32">
      <c r="A138" s="62" t="s">
        <v>33</v>
      </c>
      <c r="B138" s="34"/>
      <c r="C138" s="66"/>
      <c r="D138" s="66"/>
      <c r="E138" s="66"/>
      <c r="F138" s="66"/>
      <c r="G138" s="66"/>
      <c r="H138" s="66"/>
      <c r="I138" s="100"/>
      <c r="J138" s="36"/>
      <c r="K138" s="205"/>
      <c r="L138" s="62" t="s">
        <v>33</v>
      </c>
      <c r="M138" s="160"/>
      <c r="N138" s="160"/>
      <c r="O138" s="161"/>
      <c r="P138" s="160"/>
      <c r="Q138" s="160"/>
      <c r="R138" s="160"/>
      <c r="S138" s="160"/>
      <c r="T138" s="160"/>
      <c r="U138" s="64"/>
      <c r="W138" s="62" t="s">
        <v>33</v>
      </c>
      <c r="X138" s="272" t="e">
        <f t="shared" si="35"/>
        <v>#DIV/0!</v>
      </c>
      <c r="Y138" s="272" t="e">
        <f t="shared" si="35"/>
        <v>#DIV/0!</v>
      </c>
      <c r="Z138" s="273" t="e">
        <f t="shared" si="35"/>
        <v>#DIV/0!</v>
      </c>
      <c r="AA138" s="272" t="e">
        <f t="shared" si="35"/>
        <v>#DIV/0!</v>
      </c>
      <c r="AB138" s="272" t="e">
        <f t="shared" si="35"/>
        <v>#DIV/0!</v>
      </c>
      <c r="AC138" s="272" t="e">
        <f t="shared" si="35"/>
        <v>#DIV/0!</v>
      </c>
      <c r="AD138" s="272" t="e">
        <f t="shared" si="35"/>
        <v>#DIV/0!</v>
      </c>
      <c r="AE138" s="272" t="e">
        <f t="shared" si="35"/>
        <v>#DIV/0!</v>
      </c>
      <c r="AF138" s="274" t="e">
        <f t="shared" si="35"/>
        <v>#DIV/0!</v>
      </c>
    </row>
    <row r="139" spans="1:32">
      <c r="A139" s="48" t="s">
        <v>34</v>
      </c>
      <c r="B139" s="31">
        <v>39.706390483765837</v>
      </c>
      <c r="C139" s="93">
        <v>39.706390483765837</v>
      </c>
      <c r="D139" s="93">
        <v>39.706390483765837</v>
      </c>
      <c r="E139" s="93">
        <v>39.706390483765837</v>
      </c>
      <c r="F139" s="93">
        <v>39.706390483765837</v>
      </c>
      <c r="G139" s="93">
        <v>39.706390483765837</v>
      </c>
      <c r="H139" s="93">
        <v>39.706390483765837</v>
      </c>
      <c r="I139" s="94">
        <v>39.706390483765837</v>
      </c>
      <c r="J139" s="36">
        <v>317.6511238701267</v>
      </c>
      <c r="K139" s="205"/>
      <c r="L139" s="48" t="s">
        <v>34</v>
      </c>
      <c r="M139" s="79">
        <f t="shared" ref="M139:U144" si="37">B39-B139</f>
        <v>10.546922581276114</v>
      </c>
      <c r="N139" s="215">
        <f t="shared" si="37"/>
        <v>11.93954010844196</v>
      </c>
      <c r="O139" s="215">
        <f t="shared" si="37"/>
        <v>13.334825668222564</v>
      </c>
      <c r="P139" s="215">
        <f t="shared" si="37"/>
        <v>32.693609516234169</v>
      </c>
      <c r="Q139" s="215">
        <f t="shared" si="37"/>
        <v>19.044643756234166</v>
      </c>
      <c r="R139" s="215">
        <f t="shared" si="37"/>
        <v>12.530161467872539</v>
      </c>
      <c r="S139" s="215">
        <f t="shared" si="37"/>
        <v>12.389215665941265</v>
      </c>
      <c r="T139" s="275">
        <f t="shared" si="37"/>
        <v>12.225569464535191</v>
      </c>
      <c r="U139" s="276">
        <f t="shared" si="37"/>
        <v>124.70448822875801</v>
      </c>
      <c r="W139" s="48" t="s">
        <v>34</v>
      </c>
      <c r="X139" s="237">
        <f t="shared" si="35"/>
        <v>0.26562279907029773</v>
      </c>
      <c r="Y139" s="219">
        <f t="shared" si="35"/>
        <v>0.30069568054350099</v>
      </c>
      <c r="Z139" s="219">
        <f t="shared" si="35"/>
        <v>0.33583575605228022</v>
      </c>
      <c r="AA139" s="219">
        <f t="shared" si="35"/>
        <v>0.82338407288874871</v>
      </c>
      <c r="AB139" s="219">
        <f t="shared" si="35"/>
        <v>0.47963674169830839</v>
      </c>
      <c r="AC139" s="219">
        <f t="shared" si="35"/>
        <v>0.31557039849783275</v>
      </c>
      <c r="AD139" s="219">
        <f t="shared" si="35"/>
        <v>0.31202069780194852</v>
      </c>
      <c r="AE139" s="277">
        <f t="shared" si="35"/>
        <v>0.3078992906578521</v>
      </c>
      <c r="AF139" s="252">
        <f t="shared" si="35"/>
        <v>0.39258317965134631</v>
      </c>
    </row>
    <row r="140" spans="1:32">
      <c r="A140" s="48" t="s">
        <v>35</v>
      </c>
      <c r="B140" s="34">
        <v>11.301656499623025</v>
      </c>
      <c r="C140" s="66">
        <v>11.310122159922368</v>
      </c>
      <c r="D140" s="66">
        <v>11.178812313938982</v>
      </c>
      <c r="E140" s="66">
        <v>11.178812313938982</v>
      </c>
      <c r="F140" s="66">
        <v>11.178812313938982</v>
      </c>
      <c r="G140" s="66">
        <v>11.178812313938982</v>
      </c>
      <c r="H140" s="66">
        <v>11.178812313938982</v>
      </c>
      <c r="I140" s="100">
        <v>11.178812313938982</v>
      </c>
      <c r="J140" s="36">
        <v>89.684652543179268</v>
      </c>
      <c r="K140" s="205"/>
      <c r="L140" s="48" t="s">
        <v>35</v>
      </c>
      <c r="M140" s="214">
        <f t="shared" si="37"/>
        <v>-4.0297380923686799</v>
      </c>
      <c r="N140" s="215">
        <f t="shared" si="37"/>
        <v>-2.0260862742080796</v>
      </c>
      <c r="O140" s="215">
        <f t="shared" si="37"/>
        <v>-3.2375282354342971</v>
      </c>
      <c r="P140" s="215">
        <f t="shared" si="37"/>
        <v>-3.5457807034598732</v>
      </c>
      <c r="Q140" s="215">
        <f t="shared" si="37"/>
        <v>-3.5324306739389826</v>
      </c>
      <c r="R140" s="215">
        <f t="shared" si="37"/>
        <v>-7.3288123139389825</v>
      </c>
      <c r="S140" s="215">
        <f t="shared" si="37"/>
        <v>-0.14881231393898275</v>
      </c>
      <c r="T140" s="275">
        <f t="shared" si="37"/>
        <v>8.0511876860610183</v>
      </c>
      <c r="U140" s="276">
        <f t="shared" si="37"/>
        <v>-15.79800092122683</v>
      </c>
      <c r="W140" s="48" t="s">
        <v>35</v>
      </c>
      <c r="X140" s="218">
        <f t="shared" si="35"/>
        <v>-0.35656172106302247</v>
      </c>
      <c r="Y140" s="219">
        <f t="shared" si="35"/>
        <v>-0.17913920341086628</v>
      </c>
      <c r="Z140" s="219">
        <f t="shared" si="35"/>
        <v>-0.28961289844694754</v>
      </c>
      <c r="AA140" s="219">
        <f t="shared" ref="AA140:AF172" si="38">P140/E140</f>
        <v>-0.31718760489775832</v>
      </c>
      <c r="AB140" s="219">
        <f t="shared" si="38"/>
        <v>-0.31599337878983408</v>
      </c>
      <c r="AC140" s="219">
        <f t="shared" si="38"/>
        <v>-0.65559847577015018</v>
      </c>
      <c r="AD140" s="219">
        <f t="shared" si="38"/>
        <v>-1.3311996816819893E-2</v>
      </c>
      <c r="AE140" s="277">
        <f t="shared" si="38"/>
        <v>0.72021852232208117</v>
      </c>
      <c r="AF140" s="252">
        <f t="shared" si="38"/>
        <v>-0.17615055054844281</v>
      </c>
    </row>
    <row r="141" spans="1:32">
      <c r="A141" s="48" t="s">
        <v>36</v>
      </c>
      <c r="B141" s="34">
        <v>12.67056271121853</v>
      </c>
      <c r="C141" s="66">
        <v>12.317316572570107</v>
      </c>
      <c r="D141" s="66">
        <v>12.050250712130017</v>
      </c>
      <c r="E141" s="66">
        <v>11.659428705434831</v>
      </c>
      <c r="F141" s="66">
        <v>11.480139077884941</v>
      </c>
      <c r="G141" s="66">
        <v>11.328529935772593</v>
      </c>
      <c r="H141" s="66">
        <v>11.140521120760516</v>
      </c>
      <c r="I141" s="100">
        <v>10.91789597537894</v>
      </c>
      <c r="J141" s="36">
        <v>93.564644811150472</v>
      </c>
      <c r="K141" s="205"/>
      <c r="L141" s="48" t="s">
        <v>36</v>
      </c>
      <c r="M141" s="214">
        <f t="shared" si="37"/>
        <v>-3.2760740766116676</v>
      </c>
      <c r="N141" s="215">
        <f t="shared" si="37"/>
        <v>-5.5829339697693756</v>
      </c>
      <c r="O141" s="215">
        <f t="shared" si="37"/>
        <v>-6.7502507121300175</v>
      </c>
      <c r="P141" s="215">
        <f t="shared" si="37"/>
        <v>-6.7987159813742997</v>
      </c>
      <c r="Q141" s="215">
        <f t="shared" si="37"/>
        <v>-6.4145606346349417</v>
      </c>
      <c r="R141" s="215">
        <f t="shared" si="37"/>
        <v>-5.8519285194097188</v>
      </c>
      <c r="S141" s="215">
        <f t="shared" si="37"/>
        <v>-5.546288947243335</v>
      </c>
      <c r="T141" s="275">
        <f t="shared" si="37"/>
        <v>-5.7926205157528603</v>
      </c>
      <c r="U141" s="276">
        <f t="shared" si="37"/>
        <v>-46.013373356926209</v>
      </c>
      <c r="W141" s="48" t="s">
        <v>36</v>
      </c>
      <c r="X141" s="218">
        <f t="shared" ref="X141:Z173" si="39">M141/B141</f>
        <v>-0.25855789922503031</v>
      </c>
      <c r="Y141" s="219">
        <f t="shared" si="39"/>
        <v>-0.45325894945350514</v>
      </c>
      <c r="Z141" s="219">
        <f t="shared" si="39"/>
        <v>-0.56017512609385656</v>
      </c>
      <c r="AA141" s="219">
        <f t="shared" si="38"/>
        <v>-0.58310884290627396</v>
      </c>
      <c r="AB141" s="219">
        <f t="shared" si="38"/>
        <v>-0.55875286798500501</v>
      </c>
      <c r="AC141" s="219">
        <f t="shared" si="38"/>
        <v>-0.51656556963590028</v>
      </c>
      <c r="AD141" s="219">
        <f t="shared" si="38"/>
        <v>-0.49784825028586394</v>
      </c>
      <c r="AE141" s="277">
        <f t="shared" si="38"/>
        <v>-0.53056198088128503</v>
      </c>
      <c r="AF141" s="252">
        <f t="shared" si="38"/>
        <v>-0.49178162809038539</v>
      </c>
    </row>
    <row r="142" spans="1:32">
      <c r="A142" s="68" t="s">
        <v>37</v>
      </c>
      <c r="B142" s="34">
        <v>5.2510822780119275</v>
      </c>
      <c r="C142" s="125">
        <v>5.2510822780119275</v>
      </c>
      <c r="D142" s="125">
        <v>5.2510822780119275</v>
      </c>
      <c r="E142" s="125">
        <v>5.2510822780119275</v>
      </c>
      <c r="F142" s="125">
        <v>5.2510822780119275</v>
      </c>
      <c r="G142" s="125">
        <v>5.2510822780119275</v>
      </c>
      <c r="H142" s="125">
        <v>5.2510822780119275</v>
      </c>
      <c r="I142" s="169">
        <v>5.2510822780119275</v>
      </c>
      <c r="J142" s="36">
        <v>42.00865822409542</v>
      </c>
      <c r="K142" s="205"/>
      <c r="L142" s="68" t="s">
        <v>37</v>
      </c>
      <c r="M142" s="214">
        <f t="shared" si="37"/>
        <v>-4.3738432899659507E-2</v>
      </c>
      <c r="N142" s="245">
        <f t="shared" si="37"/>
        <v>4.1075233676385103E-2</v>
      </c>
      <c r="O142" s="245">
        <f t="shared" si="37"/>
        <v>2.1061161324314623</v>
      </c>
      <c r="P142" s="245">
        <f t="shared" si="37"/>
        <v>2.0150243780118027</v>
      </c>
      <c r="Q142" s="245">
        <f t="shared" si="37"/>
        <v>1.9698863019880726</v>
      </c>
      <c r="R142" s="245">
        <f t="shared" si="37"/>
        <v>1.9409017219880722</v>
      </c>
      <c r="S142" s="245">
        <f t="shared" si="37"/>
        <v>1.9409017219880722</v>
      </c>
      <c r="T142" s="278">
        <f t="shared" si="37"/>
        <v>1.9505023421390142</v>
      </c>
      <c r="U142" s="279">
        <f t="shared" si="37"/>
        <v>11.920669399323216</v>
      </c>
      <c r="W142" s="68" t="s">
        <v>37</v>
      </c>
      <c r="X142" s="218">
        <f t="shared" si="39"/>
        <v>-8.3294129826925866E-3</v>
      </c>
      <c r="Y142" s="248">
        <f t="shared" si="39"/>
        <v>7.8222414926502129E-3</v>
      </c>
      <c r="Z142" s="248">
        <f t="shared" si="39"/>
        <v>0.40108229521569083</v>
      </c>
      <c r="AA142" s="248">
        <f t="shared" si="38"/>
        <v>0.38373506095103421</v>
      </c>
      <c r="AB142" s="248">
        <f t="shared" si="38"/>
        <v>0.37513910422555335</v>
      </c>
      <c r="AC142" s="248">
        <f t="shared" si="38"/>
        <v>0.36961936972789206</v>
      </c>
      <c r="AD142" s="248">
        <f t="shared" si="38"/>
        <v>0.36961936972789206</v>
      </c>
      <c r="AE142" s="280">
        <f t="shared" si="38"/>
        <v>0.37144768237710402</v>
      </c>
      <c r="AF142" s="281">
        <f t="shared" si="38"/>
        <v>0.28376696384189037</v>
      </c>
    </row>
    <row r="143" spans="1:32">
      <c r="A143" s="70" t="s">
        <v>38</v>
      </c>
      <c r="B143" s="71">
        <v>68.929691972619324</v>
      </c>
      <c r="C143" s="71">
        <v>68.58491149427023</v>
      </c>
      <c r="D143" s="174">
        <v>68.186535787846765</v>
      </c>
      <c r="E143" s="71">
        <v>67.795713781151576</v>
      </c>
      <c r="F143" s="71">
        <v>67.616424153601685</v>
      </c>
      <c r="G143" s="71">
        <v>67.464815011489335</v>
      </c>
      <c r="H143" s="71">
        <v>67.276806196477253</v>
      </c>
      <c r="I143" s="71">
        <v>67.054181051095682</v>
      </c>
      <c r="J143" s="71">
        <v>542.90907944855189</v>
      </c>
      <c r="K143" s="205"/>
      <c r="L143" s="70" t="s">
        <v>38</v>
      </c>
      <c r="M143" s="64">
        <f t="shared" si="37"/>
        <v>3.1973719793960953</v>
      </c>
      <c r="N143" s="72">
        <f t="shared" si="37"/>
        <v>4.3715950981409009</v>
      </c>
      <c r="O143" s="174">
        <f t="shared" si="37"/>
        <v>5.4531628530897081</v>
      </c>
      <c r="P143" s="71">
        <f t="shared" si="37"/>
        <v>24.364137209411794</v>
      </c>
      <c r="Q143" s="71">
        <f t="shared" si="37"/>
        <v>11.067538749648321</v>
      </c>
      <c r="R143" s="71">
        <f t="shared" si="37"/>
        <v>1.290322356511922</v>
      </c>
      <c r="S143" s="71">
        <f t="shared" si="37"/>
        <v>8.6350161267470327</v>
      </c>
      <c r="T143" s="71">
        <f t="shared" si="37"/>
        <v>16.43463897698237</v>
      </c>
      <c r="U143" s="72">
        <f t="shared" si="37"/>
        <v>74.813783349928144</v>
      </c>
      <c r="W143" s="70" t="s">
        <v>38</v>
      </c>
      <c r="X143" s="274">
        <f t="shared" si="39"/>
        <v>4.6385989664166426E-2</v>
      </c>
      <c r="Y143" s="282">
        <f t="shared" si="39"/>
        <v>6.3739895596513468E-2</v>
      </c>
      <c r="Z143" s="283">
        <f t="shared" si="39"/>
        <v>7.9974188306860039E-2</v>
      </c>
      <c r="AA143" s="284">
        <f t="shared" si="38"/>
        <v>0.35937577540758131</v>
      </c>
      <c r="AB143" s="284">
        <f t="shared" si="38"/>
        <v>0.16368121929232179</v>
      </c>
      <c r="AC143" s="284">
        <f t="shared" si="38"/>
        <v>1.9125856289566326E-2</v>
      </c>
      <c r="AD143" s="284">
        <f t="shared" si="38"/>
        <v>0.12835056559505911</v>
      </c>
      <c r="AE143" s="284">
        <f t="shared" si="38"/>
        <v>0.24509491756314314</v>
      </c>
      <c r="AF143" s="282">
        <f t="shared" si="38"/>
        <v>0.13780168021120337</v>
      </c>
    </row>
    <row r="144" spans="1:32" ht="25.5">
      <c r="A144" s="70" t="s">
        <v>58</v>
      </c>
      <c r="B144" s="64">
        <f t="shared" ref="B144:J144" si="40">+B143+B137</f>
        <v>334.66429653081326</v>
      </c>
      <c r="C144" s="64">
        <f t="shared" si="40"/>
        <v>342.04204553778453</v>
      </c>
      <c r="D144" s="64">
        <f t="shared" si="40"/>
        <v>345.46894281365502</v>
      </c>
      <c r="E144" s="64">
        <f t="shared" si="40"/>
        <v>341.54475919489579</v>
      </c>
      <c r="F144" s="64">
        <f t="shared" si="40"/>
        <v>324.67458617559498</v>
      </c>
      <c r="G144" s="64">
        <f t="shared" si="40"/>
        <v>322.39128704571874</v>
      </c>
      <c r="H144" s="64">
        <f t="shared" si="40"/>
        <v>322.30541342902529</v>
      </c>
      <c r="I144" s="64">
        <f t="shared" si="40"/>
        <v>321.13441124374992</v>
      </c>
      <c r="J144" s="64">
        <f t="shared" si="40"/>
        <v>2654.2257419712378</v>
      </c>
      <c r="K144" s="205"/>
      <c r="L144" s="70" t="s">
        <v>39</v>
      </c>
      <c r="M144" s="64">
        <f t="shared" si="37"/>
        <v>-34.077118317258169</v>
      </c>
      <c r="N144" s="64">
        <f t="shared" si="37"/>
        <v>-25.707344405113588</v>
      </c>
      <c r="O144" s="64">
        <f t="shared" si="37"/>
        <v>-30.990067640768018</v>
      </c>
      <c r="P144" s="64">
        <f t="shared" si="37"/>
        <v>-14.141579648057416</v>
      </c>
      <c r="Q144" s="64">
        <f t="shared" si="37"/>
        <v>-19.105878437921319</v>
      </c>
      <c r="R144" s="64">
        <f t="shared" si="37"/>
        <v>-9.9939613382367156</v>
      </c>
      <c r="S144" s="64">
        <f t="shared" si="37"/>
        <v>-12.682903042266162</v>
      </c>
      <c r="T144" s="64">
        <f t="shared" si="37"/>
        <v>-8.3614931523501923</v>
      </c>
      <c r="U144" s="64">
        <f t="shared" si="37"/>
        <v>-155.06034598197175</v>
      </c>
      <c r="W144" s="70" t="s">
        <v>39</v>
      </c>
      <c r="X144" s="274">
        <f t="shared" si="39"/>
        <v>-0.10182477984806669</v>
      </c>
      <c r="Y144" s="274">
        <f t="shared" si="39"/>
        <v>-7.5158433708623587E-2</v>
      </c>
      <c r="Z144" s="274">
        <f t="shared" si="39"/>
        <v>-8.9704351969734003E-2</v>
      </c>
      <c r="AA144" s="274">
        <f t="shared" si="38"/>
        <v>-4.1404762530663809E-2</v>
      </c>
      <c r="AB144" s="274">
        <f t="shared" si="38"/>
        <v>-5.8846239439227975E-2</v>
      </c>
      <c r="AC144" s="274">
        <f t="shared" si="38"/>
        <v>-3.0999477156525818E-2</v>
      </c>
      <c r="AD144" s="274">
        <f t="shared" si="38"/>
        <v>-3.9350574063687131E-2</v>
      </c>
      <c r="AE144" s="274">
        <f t="shared" si="38"/>
        <v>-2.6037362735330121E-2</v>
      </c>
      <c r="AF144" s="274">
        <f t="shared" si="38"/>
        <v>-5.8420180141426734E-2</v>
      </c>
    </row>
    <row r="145" spans="1:21">
      <c r="B145" s="73">
        <v>0</v>
      </c>
      <c r="C145" s="73">
        <v>0</v>
      </c>
      <c r="D145" s="73">
        <v>0</v>
      </c>
      <c r="E145" s="73">
        <v>0</v>
      </c>
      <c r="F145" s="73">
        <v>0</v>
      </c>
      <c r="G145" s="73">
        <v>0</v>
      </c>
      <c r="H145" s="73">
        <v>0</v>
      </c>
      <c r="I145" s="73">
        <v>0</v>
      </c>
      <c r="J145" s="73">
        <v>0</v>
      </c>
      <c r="K145" s="65"/>
      <c r="L145" s="65"/>
      <c r="M145" s="73"/>
      <c r="N145" s="65"/>
      <c r="O145" s="65"/>
      <c r="P145" s="65"/>
      <c r="Q145" s="65"/>
      <c r="R145" s="65"/>
      <c r="S145" s="65"/>
      <c r="T145" s="65"/>
      <c r="U145" s="65"/>
    </row>
    <row r="146" spans="1:21">
      <c r="B146" s="73"/>
      <c r="C146" s="65"/>
      <c r="D146" s="87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</row>
    <row r="147" spans="1:21">
      <c r="B147" s="73"/>
      <c r="C147" s="65"/>
      <c r="D147" s="87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</row>
    <row r="148" spans="1:21">
      <c r="A148" s="6" t="s">
        <v>59</v>
      </c>
      <c r="B148" s="73"/>
      <c r="C148" s="65"/>
      <c r="D148" s="87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</row>
    <row r="149" spans="1:21">
      <c r="A149" s="7" t="s">
        <v>60</v>
      </c>
      <c r="B149" s="73"/>
      <c r="C149" s="65"/>
      <c r="D149" s="87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</row>
    <row r="150" spans="1:21">
      <c r="A150" s="8"/>
      <c r="B150" s="198"/>
      <c r="C150" s="199"/>
      <c r="D150" s="200"/>
      <c r="E150" s="199"/>
      <c r="F150" s="199"/>
      <c r="G150" s="199"/>
      <c r="H150" s="199"/>
      <c r="I150" s="199"/>
      <c r="J150" s="201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</row>
    <row r="151" spans="1:21">
      <c r="A151" s="17"/>
      <c r="B151" s="202" t="s">
        <v>56</v>
      </c>
      <c r="C151" s="203"/>
      <c r="D151" s="203"/>
      <c r="E151" s="203"/>
      <c r="F151" s="203"/>
      <c r="G151" s="203"/>
      <c r="H151" s="203"/>
      <c r="I151" s="203"/>
      <c r="J151" s="204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</row>
    <row r="152" spans="1:21" ht="25.5">
      <c r="A152" s="26" t="s">
        <v>6</v>
      </c>
      <c r="B152" s="285">
        <v>2014</v>
      </c>
      <c r="C152" s="28">
        <v>2015</v>
      </c>
      <c r="D152" s="28">
        <v>2016</v>
      </c>
      <c r="E152" s="90">
        <v>2017</v>
      </c>
      <c r="F152" s="28">
        <v>2018</v>
      </c>
      <c r="G152" s="90">
        <v>2019</v>
      </c>
      <c r="H152" s="28">
        <v>2020</v>
      </c>
      <c r="I152" s="91">
        <v>2021</v>
      </c>
      <c r="J152" s="92" t="s">
        <v>5</v>
      </c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</row>
    <row r="153" spans="1:21">
      <c r="A153" s="30" t="s">
        <v>7</v>
      </c>
      <c r="B153" s="31">
        <v>10.475318426509387</v>
      </c>
      <c r="C153" s="93">
        <v>11.20343429646744</v>
      </c>
      <c r="D153" s="93">
        <v>18.035613574540658</v>
      </c>
      <c r="E153" s="93">
        <v>14.966751071356189</v>
      </c>
      <c r="F153" s="93">
        <v>12.713333039596648</v>
      </c>
      <c r="G153" s="93">
        <v>12.970697309873398</v>
      </c>
      <c r="H153" s="93">
        <v>10.238757315395111</v>
      </c>
      <c r="I153" s="94">
        <v>10.647923605969664</v>
      </c>
      <c r="J153" s="33">
        <v>101.25182863970849</v>
      </c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</row>
    <row r="154" spans="1:21">
      <c r="A154" s="30" t="s">
        <v>8</v>
      </c>
      <c r="B154" s="34">
        <v>5.3447971840883621</v>
      </c>
      <c r="C154" s="66">
        <v>5.2640590853883502</v>
      </c>
      <c r="D154" s="66">
        <v>5.4155751028624239</v>
      </c>
      <c r="E154" s="66">
        <v>5.4159750321568758</v>
      </c>
      <c r="F154" s="66">
        <v>5.3494294740391455</v>
      </c>
      <c r="G154" s="66">
        <v>5.471423819019237</v>
      </c>
      <c r="H154" s="66">
        <v>5.5877292921675021</v>
      </c>
      <c r="I154" s="100">
        <v>5.6482258392725804</v>
      </c>
      <c r="J154" s="36">
        <v>43.497214828994473</v>
      </c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</row>
    <row r="155" spans="1:21">
      <c r="A155" s="30" t="s">
        <v>9</v>
      </c>
      <c r="B155" s="34">
        <v>4.2007796543568379</v>
      </c>
      <c r="C155" s="66">
        <v>4.192372921281045</v>
      </c>
      <c r="D155" s="66">
        <v>4.1266985439721768</v>
      </c>
      <c r="E155" s="66">
        <v>4.1210494498946373</v>
      </c>
      <c r="F155" s="66">
        <v>4.0263096816044843</v>
      </c>
      <c r="G155" s="66">
        <v>3.8520142510516542</v>
      </c>
      <c r="H155" s="66">
        <v>3.8457319921654869</v>
      </c>
      <c r="I155" s="100">
        <v>3.7118633127018006</v>
      </c>
      <c r="J155" s="36">
        <v>32.076819807028123</v>
      </c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</row>
    <row r="156" spans="1:21">
      <c r="A156" s="30" t="s">
        <v>10</v>
      </c>
      <c r="B156" s="34">
        <v>1.3650520436820188</v>
      </c>
      <c r="C156" s="66">
        <v>1.357541240267923</v>
      </c>
      <c r="D156" s="66">
        <v>1.3606276401450261</v>
      </c>
      <c r="E156" s="66">
        <v>1.3559057957250125</v>
      </c>
      <c r="F156" s="66">
        <v>1.3603697395603795</v>
      </c>
      <c r="G156" s="66">
        <v>1.3704433499690221</v>
      </c>
      <c r="H156" s="66">
        <v>1.3262553734459712</v>
      </c>
      <c r="I156" s="100">
        <v>1.3508349604845777</v>
      </c>
      <c r="J156" s="36">
        <v>10.84703014327993</v>
      </c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</row>
    <row r="157" spans="1:21">
      <c r="A157" s="30" t="s">
        <v>11</v>
      </c>
      <c r="B157" s="34">
        <v>22.707897655855842</v>
      </c>
      <c r="C157" s="66">
        <v>25.522532376341779</v>
      </c>
      <c r="D157" s="66">
        <v>21.252535171379467</v>
      </c>
      <c r="E157" s="66">
        <v>20.822226606755645</v>
      </c>
      <c r="F157" s="66">
        <v>12.195977556571762</v>
      </c>
      <c r="G157" s="66">
        <v>12.402467162120342</v>
      </c>
      <c r="H157" s="66">
        <v>15.004987938459779</v>
      </c>
      <c r="I157" s="100">
        <v>15.223449625171774</v>
      </c>
      <c r="J157" s="36">
        <v>145.13207409265641</v>
      </c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</row>
    <row r="158" spans="1:21">
      <c r="A158" s="37" t="s">
        <v>12</v>
      </c>
      <c r="B158" s="38">
        <v>4.7036452627445193</v>
      </c>
      <c r="C158" s="106">
        <v>4.5507319527376762</v>
      </c>
      <c r="D158" s="106">
        <v>3.2959870877374238</v>
      </c>
      <c r="E158" s="106">
        <v>8.9723360142941733</v>
      </c>
      <c r="F158" s="106">
        <v>3.7816612486051122</v>
      </c>
      <c r="G158" s="106">
        <v>2.7887308117844753</v>
      </c>
      <c r="H158" s="106">
        <v>4.5824937944207011</v>
      </c>
      <c r="I158" s="107">
        <v>3.7855622323870692</v>
      </c>
      <c r="J158" s="39">
        <v>36.461148404711153</v>
      </c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</row>
    <row r="159" spans="1:21">
      <c r="A159" s="37" t="s">
        <v>13</v>
      </c>
      <c r="B159" s="38">
        <v>4.4304733380956707</v>
      </c>
      <c r="C159" s="113">
        <v>4.4216279191653918</v>
      </c>
      <c r="D159" s="113">
        <v>6.0984420897612761</v>
      </c>
      <c r="E159" s="113">
        <v>0.38794475789882171</v>
      </c>
      <c r="F159" s="113">
        <v>0.32788399841435067</v>
      </c>
      <c r="G159" s="113">
        <v>2.2753911082459997</v>
      </c>
      <c r="H159" s="113">
        <v>3.2042679176468911</v>
      </c>
      <c r="I159" s="114">
        <v>2.7319566307874519</v>
      </c>
      <c r="J159" s="39">
        <v>23.877987760015852</v>
      </c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</row>
    <row r="160" spans="1:21">
      <c r="A160" s="40" t="s">
        <v>14</v>
      </c>
      <c r="B160" s="41">
        <v>44.093844964492448</v>
      </c>
      <c r="C160" s="41">
        <v>47.539939919746537</v>
      </c>
      <c r="D160" s="117">
        <v>50.191050032899753</v>
      </c>
      <c r="E160" s="117">
        <v>46.681907955888363</v>
      </c>
      <c r="F160" s="117">
        <v>35.645419491372422</v>
      </c>
      <c r="G160" s="117">
        <v>36.067045892033647</v>
      </c>
      <c r="H160" s="117">
        <v>36.003461911633849</v>
      </c>
      <c r="I160" s="117">
        <v>36.582297343600395</v>
      </c>
      <c r="J160" s="41">
        <v>332.80496751166737</v>
      </c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</row>
    <row r="161" spans="1:21">
      <c r="A161" s="30" t="s">
        <v>15</v>
      </c>
      <c r="B161" s="34">
        <v>0</v>
      </c>
      <c r="C161" s="66">
        <v>0</v>
      </c>
      <c r="D161" s="66">
        <v>0</v>
      </c>
      <c r="E161" s="66">
        <v>0</v>
      </c>
      <c r="F161" s="66">
        <v>0</v>
      </c>
      <c r="G161" s="66">
        <v>0</v>
      </c>
      <c r="H161" s="66">
        <v>0</v>
      </c>
      <c r="I161" s="100">
        <v>0</v>
      </c>
      <c r="J161" s="36">
        <v>0</v>
      </c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</row>
    <row r="162" spans="1:21">
      <c r="A162" s="30" t="s">
        <v>16</v>
      </c>
      <c r="B162" s="34">
        <v>0</v>
      </c>
      <c r="C162" s="66">
        <v>0</v>
      </c>
      <c r="D162" s="66">
        <v>0</v>
      </c>
      <c r="E162" s="66">
        <v>0</v>
      </c>
      <c r="F162" s="66">
        <v>0</v>
      </c>
      <c r="G162" s="66">
        <v>0</v>
      </c>
      <c r="H162" s="66">
        <v>0</v>
      </c>
      <c r="I162" s="100">
        <v>0</v>
      </c>
      <c r="J162" s="36">
        <v>0</v>
      </c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</row>
    <row r="163" spans="1:21">
      <c r="A163" s="30" t="s">
        <v>50</v>
      </c>
      <c r="B163" s="34">
        <v>0</v>
      </c>
      <c r="C163" s="66">
        <v>0</v>
      </c>
      <c r="D163" s="66">
        <v>0</v>
      </c>
      <c r="E163" s="66">
        <v>0</v>
      </c>
      <c r="F163" s="66">
        <v>0</v>
      </c>
      <c r="G163" s="66">
        <v>0</v>
      </c>
      <c r="H163" s="66">
        <v>0</v>
      </c>
      <c r="I163" s="100">
        <v>0</v>
      </c>
      <c r="J163" s="36">
        <v>0</v>
      </c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</row>
    <row r="164" spans="1:21">
      <c r="A164" s="40" t="s">
        <v>18</v>
      </c>
      <c r="B164" s="129">
        <v>83.034919528542503</v>
      </c>
      <c r="C164" s="130">
        <v>84.572463440399119</v>
      </c>
      <c r="D164" s="130">
        <v>83.962858426248218</v>
      </c>
      <c r="E164" s="130">
        <v>84.892914279120944</v>
      </c>
      <c r="F164" s="130">
        <v>85.310287649046501</v>
      </c>
      <c r="G164" s="130">
        <v>85.159257155632091</v>
      </c>
      <c r="H164" s="130">
        <v>86.073392089172046</v>
      </c>
      <c r="I164" s="131">
        <v>85.860400186043393</v>
      </c>
      <c r="J164" s="132">
        <v>678.86649275420484</v>
      </c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</row>
    <row r="165" spans="1:21">
      <c r="A165" s="48" t="s">
        <v>19</v>
      </c>
      <c r="B165" s="34">
        <v>17.89821657284562</v>
      </c>
      <c r="C165" s="66">
        <v>17.862128662901846</v>
      </c>
      <c r="D165" s="66">
        <v>17.841079631002415</v>
      </c>
      <c r="E165" s="66">
        <v>17.800607297045563</v>
      </c>
      <c r="F165" s="66">
        <v>17.754742490676165</v>
      </c>
      <c r="G165" s="66">
        <v>17.690149902195234</v>
      </c>
      <c r="H165" s="66">
        <v>17.63373381112384</v>
      </c>
      <c r="I165" s="100">
        <v>17.571645223760278</v>
      </c>
      <c r="J165" s="36">
        <v>142.05230359155095</v>
      </c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</row>
    <row r="166" spans="1:21">
      <c r="A166" s="48" t="s">
        <v>20</v>
      </c>
      <c r="B166" s="34">
        <v>13.23625284010221</v>
      </c>
      <c r="C166" s="66">
        <v>13.207044532723822</v>
      </c>
      <c r="D166" s="66">
        <v>13.102490043571866</v>
      </c>
      <c r="E166" s="66">
        <v>12.975813218839159</v>
      </c>
      <c r="F166" s="66">
        <v>12.881096327348136</v>
      </c>
      <c r="G166" s="66">
        <v>12.800774362946267</v>
      </c>
      <c r="H166" s="66">
        <v>12.739888920065987</v>
      </c>
      <c r="I166" s="100">
        <v>12.676417654536575</v>
      </c>
      <c r="J166" s="36">
        <v>103.61977790013404</v>
      </c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</row>
    <row r="167" spans="1:21">
      <c r="A167" s="48" t="s">
        <v>21</v>
      </c>
      <c r="B167" s="34">
        <v>14.620082872414955</v>
      </c>
      <c r="C167" s="66">
        <v>14.358978136851771</v>
      </c>
      <c r="D167" s="66">
        <v>14.040168320284888</v>
      </c>
      <c r="E167" s="66">
        <v>13.678083259303467</v>
      </c>
      <c r="F167" s="66">
        <v>13.284914558589794</v>
      </c>
      <c r="G167" s="66">
        <v>12.92055451327597</v>
      </c>
      <c r="H167" s="66">
        <v>12.504457018930815</v>
      </c>
      <c r="I167" s="100">
        <v>12.039277410333526</v>
      </c>
      <c r="J167" s="36">
        <v>107.4465160899852</v>
      </c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</row>
    <row r="168" spans="1:21">
      <c r="A168" s="48" t="s">
        <v>22</v>
      </c>
      <c r="B168" s="34">
        <v>7.4367170518813843</v>
      </c>
      <c r="C168" s="66">
        <v>7.3899751074876701</v>
      </c>
      <c r="D168" s="66">
        <v>7.3393395445193121</v>
      </c>
      <c r="E168" s="66">
        <v>7.2962568305736379</v>
      </c>
      <c r="F168" s="66">
        <v>7.2643030465763516</v>
      </c>
      <c r="G168" s="66">
        <v>7.2400178591078106</v>
      </c>
      <c r="H168" s="66">
        <v>7.2620628555286189</v>
      </c>
      <c r="I168" s="100">
        <v>7.3257542785231813</v>
      </c>
      <c r="J168" s="36">
        <v>58.554426574197961</v>
      </c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</row>
    <row r="169" spans="1:21">
      <c r="A169" s="48" t="s">
        <v>23</v>
      </c>
      <c r="B169" s="34">
        <v>0</v>
      </c>
      <c r="C169" s="66">
        <v>0</v>
      </c>
      <c r="D169" s="66">
        <v>0</v>
      </c>
      <c r="E169" s="66">
        <v>0</v>
      </c>
      <c r="F169" s="66">
        <v>0</v>
      </c>
      <c r="G169" s="66">
        <v>0</v>
      </c>
      <c r="H169" s="66">
        <v>0</v>
      </c>
      <c r="I169" s="100">
        <v>0</v>
      </c>
      <c r="J169" s="36">
        <v>0</v>
      </c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</row>
    <row r="170" spans="1:21">
      <c r="A170" s="48" t="s">
        <v>24</v>
      </c>
      <c r="B170" s="34">
        <v>9.8190185584044762</v>
      </c>
      <c r="C170" s="66">
        <v>10.419595338829485</v>
      </c>
      <c r="D170" s="66">
        <v>11.027087416649016</v>
      </c>
      <c r="E170" s="66">
        <v>11.551888061265183</v>
      </c>
      <c r="F170" s="66">
        <v>10.676331782378897</v>
      </c>
      <c r="G170" s="66">
        <v>10.994456078754315</v>
      </c>
      <c r="H170" s="66">
        <v>11.244988855106561</v>
      </c>
      <c r="I170" s="100">
        <v>11.165405538103993</v>
      </c>
      <c r="J170" s="36">
        <v>86.898771629491918</v>
      </c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</row>
    <row r="171" spans="1:21">
      <c r="A171" s="37" t="s">
        <v>57</v>
      </c>
      <c r="B171" s="38">
        <v>4.3360000000000003</v>
      </c>
      <c r="C171" s="113">
        <v>4.2060000000000004</v>
      </c>
      <c r="D171" s="113">
        <v>4.7530000000000001</v>
      </c>
      <c r="E171" s="113">
        <v>5.2110000000000003</v>
      </c>
      <c r="F171" s="113">
        <v>4.2699999999999996</v>
      </c>
      <c r="G171" s="113">
        <v>4.5190000000000001</v>
      </c>
      <c r="H171" s="113">
        <v>4.6980000000000004</v>
      </c>
      <c r="I171" s="114">
        <v>4.5529999999999999</v>
      </c>
      <c r="J171" s="39">
        <v>36.545999999999999</v>
      </c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</row>
    <row r="172" spans="1:21">
      <c r="A172" s="52" t="s">
        <v>26</v>
      </c>
      <c r="B172" s="41">
        <v>63.010287895648645</v>
      </c>
      <c r="C172" s="41">
        <v>63.237721778794594</v>
      </c>
      <c r="D172" s="117">
        <v>63.350164956027498</v>
      </c>
      <c r="E172" s="117">
        <v>63.302648667027007</v>
      </c>
      <c r="F172" s="117">
        <v>61.861388205569341</v>
      </c>
      <c r="G172" s="117">
        <v>61.645952716279595</v>
      </c>
      <c r="H172" s="117">
        <v>61.385131460755822</v>
      </c>
      <c r="I172" s="117">
        <v>60.77850010525755</v>
      </c>
      <c r="J172" s="41">
        <v>498.57179578536</v>
      </c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</row>
    <row r="173" spans="1:21">
      <c r="A173" s="48" t="s">
        <v>27</v>
      </c>
      <c r="B173" s="34">
        <v>16.856603666902767</v>
      </c>
      <c r="C173" s="66">
        <v>16.97941950663887</v>
      </c>
      <c r="D173" s="66">
        <v>17.0635597030677</v>
      </c>
      <c r="E173" s="66">
        <v>17.112387337843668</v>
      </c>
      <c r="F173" s="66">
        <v>17.160084474453871</v>
      </c>
      <c r="G173" s="66">
        <v>17.208399093456993</v>
      </c>
      <c r="H173" s="66">
        <v>17.252761586684336</v>
      </c>
      <c r="I173" s="100">
        <v>17.300395453755957</v>
      </c>
      <c r="J173" s="36">
        <v>136.93361082280416</v>
      </c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</row>
    <row r="174" spans="1:21">
      <c r="A174" s="48" t="s">
        <v>28</v>
      </c>
      <c r="B174" s="34">
        <v>2.8972602862862304</v>
      </c>
      <c r="C174" s="66">
        <v>3.4660528781503528</v>
      </c>
      <c r="D174" s="66">
        <v>3.6528403152061228</v>
      </c>
      <c r="E174" s="66">
        <v>3.7682908444262773</v>
      </c>
      <c r="F174" s="66">
        <v>3.7310524093005175</v>
      </c>
      <c r="G174" s="66">
        <v>3.6943734499895116</v>
      </c>
      <c r="H174" s="66">
        <v>3.7439327441787649</v>
      </c>
      <c r="I174" s="100">
        <v>3.451425029375033</v>
      </c>
      <c r="J174" s="36">
        <v>28.405227956912814</v>
      </c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</row>
    <row r="175" spans="1:21">
      <c r="A175" s="56" t="s">
        <v>29</v>
      </c>
      <c r="B175" s="34">
        <v>19.753863953188997</v>
      </c>
      <c r="C175" s="140">
        <v>20.445472384789223</v>
      </c>
      <c r="D175" s="140">
        <v>20.716400018273823</v>
      </c>
      <c r="E175" s="140">
        <v>20.880678182269946</v>
      </c>
      <c r="F175" s="140">
        <v>20.891136883754388</v>
      </c>
      <c r="G175" s="140">
        <v>20.902772543446506</v>
      </c>
      <c r="H175" s="140">
        <v>20.9966943308631</v>
      </c>
      <c r="I175" s="140">
        <v>20.751820483130992</v>
      </c>
      <c r="J175" s="49">
        <v>165.33883877971695</v>
      </c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</row>
    <row r="176" spans="1:21">
      <c r="A176" s="57" t="s">
        <v>30</v>
      </c>
      <c r="B176" s="53">
        <v>82.989758880517471</v>
      </c>
      <c r="C176" s="53">
        <v>83.908801195263649</v>
      </c>
      <c r="D176" s="53">
        <v>84.292172005981143</v>
      </c>
      <c r="E176" s="53">
        <v>84.408933880976775</v>
      </c>
      <c r="F176" s="53">
        <v>82.978132121003554</v>
      </c>
      <c r="G176" s="53">
        <v>82.774332291405926</v>
      </c>
      <c r="H176" s="53">
        <v>82.607432823298751</v>
      </c>
      <c r="I176" s="53">
        <v>81.755927620068377</v>
      </c>
      <c r="J176" s="53">
        <v>665.7154908185156</v>
      </c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</row>
    <row r="177" spans="1:21">
      <c r="A177" s="145" t="s">
        <v>51</v>
      </c>
      <c r="B177" s="146">
        <v>0.45121406335966541</v>
      </c>
      <c r="C177" s="147">
        <v>0.45121406335966541</v>
      </c>
      <c r="D177" s="147">
        <v>0.45121406335966541</v>
      </c>
      <c r="E177" s="147">
        <v>0.45121406335966541</v>
      </c>
      <c r="F177" s="147">
        <v>0.45121406335966541</v>
      </c>
      <c r="G177" s="147">
        <v>0.45121406335966541</v>
      </c>
      <c r="H177" s="147">
        <v>0.45121406335966541</v>
      </c>
      <c r="I177" s="148">
        <v>0.45121406335966541</v>
      </c>
      <c r="J177" s="149">
        <v>3.6097125068773228</v>
      </c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</row>
    <row r="178" spans="1:21">
      <c r="A178" s="60" t="s">
        <v>32</v>
      </c>
      <c r="B178" s="86">
        <v>210.11852337355242</v>
      </c>
      <c r="C178" s="86">
        <v>216.0212045554093</v>
      </c>
      <c r="D178" s="86">
        <v>218.44608046512911</v>
      </c>
      <c r="E178" s="86">
        <v>215.9837561159861</v>
      </c>
      <c r="F178" s="86">
        <v>203.93383926142246</v>
      </c>
      <c r="G178" s="86">
        <v>204.00063533907166</v>
      </c>
      <c r="H178" s="86">
        <v>204.68428682410465</v>
      </c>
      <c r="I178" s="86">
        <v>204.19862514971217</v>
      </c>
      <c r="J178" s="86">
        <v>1677.3869510843879</v>
      </c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</row>
    <row r="179" spans="1:21">
      <c r="A179" s="62" t="s">
        <v>33</v>
      </c>
      <c r="B179" s="34">
        <v>0</v>
      </c>
      <c r="C179" s="66">
        <v>0</v>
      </c>
      <c r="D179" s="66">
        <v>0</v>
      </c>
      <c r="E179" s="66">
        <v>0</v>
      </c>
      <c r="F179" s="66">
        <v>0</v>
      </c>
      <c r="G179" s="66">
        <v>0</v>
      </c>
      <c r="H179" s="66">
        <v>0</v>
      </c>
      <c r="I179" s="100">
        <v>0</v>
      </c>
      <c r="J179" s="36">
        <v>0</v>
      </c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</row>
    <row r="180" spans="1:21">
      <c r="A180" s="48" t="s">
        <v>34</v>
      </c>
      <c r="B180" s="31">
        <v>31.164305307934132</v>
      </c>
      <c r="C180" s="93">
        <v>31.164305307934132</v>
      </c>
      <c r="D180" s="93">
        <v>31.164305307934132</v>
      </c>
      <c r="E180" s="93">
        <v>31.164305307934132</v>
      </c>
      <c r="F180" s="93">
        <v>31.164305307934132</v>
      </c>
      <c r="G180" s="93">
        <v>31.164305307934132</v>
      </c>
      <c r="H180" s="93">
        <v>31.164305307934132</v>
      </c>
      <c r="I180" s="94">
        <v>31.164305307934132</v>
      </c>
      <c r="J180" s="33">
        <v>249.31444246347309</v>
      </c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</row>
    <row r="181" spans="1:21">
      <c r="A181" s="48" t="s">
        <v>35</v>
      </c>
      <c r="B181" s="34">
        <v>8.8703170786488972</v>
      </c>
      <c r="C181" s="66">
        <v>8.8769615109175479</v>
      </c>
      <c r="D181" s="66">
        <v>8.7739005154378109</v>
      </c>
      <c r="E181" s="66">
        <v>8.7739005154378109</v>
      </c>
      <c r="F181" s="66">
        <v>8.7739005154378109</v>
      </c>
      <c r="G181" s="66">
        <v>8.7739005154378109</v>
      </c>
      <c r="H181" s="66">
        <v>8.7739005154378109</v>
      </c>
      <c r="I181" s="100">
        <v>8.7739005154378109</v>
      </c>
      <c r="J181" s="36">
        <v>70.390681682193303</v>
      </c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</row>
    <row r="182" spans="1:21">
      <c r="A182" s="48" t="s">
        <v>36</v>
      </c>
      <c r="B182" s="34">
        <v>9.9447287941517697</v>
      </c>
      <c r="C182" s="66">
        <v>9.6674769367161453</v>
      </c>
      <c r="D182" s="66">
        <v>9.4578652870376398</v>
      </c>
      <c r="E182" s="66">
        <v>9.1511213047890383</v>
      </c>
      <c r="F182" s="66">
        <v>9.0104024778335887</v>
      </c>
      <c r="G182" s="66">
        <v>8.8914091990515516</v>
      </c>
      <c r="H182" s="66">
        <v>8.7438469542785136</v>
      </c>
      <c r="I182" s="100">
        <v>8.5691154333478643</v>
      </c>
      <c r="J182" s="36">
        <v>73.435966387206108</v>
      </c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</row>
    <row r="183" spans="1:21">
      <c r="A183" s="68" t="s">
        <v>37</v>
      </c>
      <c r="B183" s="34">
        <v>4.1214104156849416</v>
      </c>
      <c r="C183" s="125">
        <v>4.1214104156849416</v>
      </c>
      <c r="D183" s="125">
        <v>4.1214104156849416</v>
      </c>
      <c r="E183" s="125">
        <v>4.1214104156849416</v>
      </c>
      <c r="F183" s="125">
        <v>4.1214104156849416</v>
      </c>
      <c r="G183" s="125">
        <v>4.1214104156849416</v>
      </c>
      <c r="H183" s="125">
        <v>4.1214104156849416</v>
      </c>
      <c r="I183" s="169">
        <v>4.1214104156849416</v>
      </c>
      <c r="J183" s="170">
        <v>32.971283325479533</v>
      </c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</row>
    <row r="184" spans="1:21">
      <c r="A184" s="70" t="s">
        <v>38</v>
      </c>
      <c r="B184" s="71">
        <v>54.100761596419744</v>
      </c>
      <c r="C184" s="71">
        <v>53.830154171252765</v>
      </c>
      <c r="D184" s="174">
        <v>53.517481526094528</v>
      </c>
      <c r="E184" s="71">
        <v>53.210737543845923</v>
      </c>
      <c r="F184" s="71">
        <v>53.070018716890473</v>
      </c>
      <c r="G184" s="71">
        <v>52.951025438108438</v>
      </c>
      <c r="H184" s="71">
        <v>52.803463193335396</v>
      </c>
      <c r="I184" s="71">
        <v>52.628731672404747</v>
      </c>
      <c r="J184" s="71">
        <v>426.11237385835204</v>
      </c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</row>
    <row r="185" spans="1:21">
      <c r="A185" s="70" t="s">
        <v>61</v>
      </c>
      <c r="B185" s="64">
        <v>264.21928496997214</v>
      </c>
      <c r="C185" s="64">
        <v>269.85135872666206</v>
      </c>
      <c r="D185" s="64">
        <v>271.96356199122363</v>
      </c>
      <c r="E185" s="64">
        <v>269.19449365983201</v>
      </c>
      <c r="F185" s="64">
        <v>257.00385797831291</v>
      </c>
      <c r="G185" s="64">
        <v>256.95166077718011</v>
      </c>
      <c r="H185" s="64">
        <v>257.48775001744002</v>
      </c>
      <c r="I185" s="64">
        <v>256.82735682211694</v>
      </c>
      <c r="J185" s="64">
        <v>2103.4993249427398</v>
      </c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</row>
    <row r="186" spans="1:21">
      <c r="B186" s="73"/>
      <c r="C186" s="73"/>
      <c r="D186" s="73"/>
      <c r="E186" s="73"/>
      <c r="F186" s="73"/>
      <c r="G186" s="73"/>
      <c r="H186" s="73"/>
      <c r="I186" s="73"/>
      <c r="J186" s="73"/>
      <c r="K186" s="65"/>
      <c r="L186" s="65"/>
    </row>
    <row r="187" spans="1:21">
      <c r="A187" s="6" t="s">
        <v>62</v>
      </c>
      <c r="B187" s="286"/>
      <c r="C187" s="65"/>
      <c r="D187" s="87"/>
      <c r="E187" s="65"/>
      <c r="F187" s="65"/>
      <c r="G187" s="65"/>
      <c r="H187" s="65"/>
      <c r="I187" s="65"/>
      <c r="J187" s="286" t="s">
        <v>257</v>
      </c>
      <c r="K187" s="65"/>
      <c r="L187" s="65"/>
    </row>
    <row r="188" spans="1:21">
      <c r="A188" s="7" t="s">
        <v>63</v>
      </c>
      <c r="B188" s="73"/>
      <c r="C188" s="65"/>
      <c r="D188" s="87"/>
      <c r="E188" s="65"/>
      <c r="F188" s="65"/>
      <c r="G188" s="65"/>
      <c r="H188" s="65"/>
      <c r="I188" s="65"/>
      <c r="J188" s="65"/>
      <c r="K188" s="65"/>
      <c r="L188" s="65"/>
    </row>
    <row r="189" spans="1:21">
      <c r="A189" s="8"/>
      <c r="B189" s="287"/>
      <c r="C189" s="288"/>
      <c r="D189" s="289"/>
      <c r="E189" s="288"/>
      <c r="F189" s="288"/>
      <c r="G189" s="288"/>
      <c r="H189" s="288"/>
      <c r="I189" s="288"/>
      <c r="J189" s="290"/>
      <c r="K189" s="65"/>
      <c r="L189" s="65"/>
    </row>
    <row r="190" spans="1:21">
      <c r="A190" s="17"/>
      <c r="B190" s="202" t="s">
        <v>56</v>
      </c>
      <c r="C190" s="203"/>
      <c r="D190" s="203"/>
      <c r="E190" s="203"/>
      <c r="F190" s="203"/>
      <c r="G190" s="203"/>
      <c r="H190" s="203"/>
      <c r="I190" s="203"/>
      <c r="J190" s="204"/>
      <c r="K190" s="65"/>
      <c r="L190" s="65"/>
    </row>
    <row r="191" spans="1:21">
      <c r="A191" s="26" t="s">
        <v>64</v>
      </c>
      <c r="B191" s="27">
        <v>2014</v>
      </c>
      <c r="C191" s="291">
        <v>2015</v>
      </c>
      <c r="D191" s="291">
        <v>2016</v>
      </c>
      <c r="E191" s="292">
        <v>2017</v>
      </c>
      <c r="F191" s="291">
        <v>2018</v>
      </c>
      <c r="G191" s="292">
        <v>2019</v>
      </c>
      <c r="H191" s="291">
        <v>2020</v>
      </c>
      <c r="I191" s="293">
        <v>2021</v>
      </c>
      <c r="J191" s="294" t="s">
        <v>65</v>
      </c>
      <c r="K191" s="65"/>
      <c r="L191" s="65"/>
    </row>
    <row r="192" spans="1:21">
      <c r="A192" s="30" t="s">
        <v>41</v>
      </c>
      <c r="B192" s="80">
        <v>0</v>
      </c>
      <c r="C192" s="295">
        <v>0</v>
      </c>
      <c r="D192" s="80">
        <v>0</v>
      </c>
      <c r="E192" s="295">
        <v>0</v>
      </c>
      <c r="F192" s="295">
        <v>0</v>
      </c>
      <c r="G192" s="295">
        <v>0</v>
      </c>
      <c r="H192" s="295">
        <v>0</v>
      </c>
      <c r="I192" s="295">
        <v>0</v>
      </c>
      <c r="J192" s="295">
        <f>SUM(B192:I192)</f>
        <v>0</v>
      </c>
      <c r="K192" s="65"/>
      <c r="L192" s="65"/>
    </row>
    <row r="193" spans="1:11">
      <c r="A193" s="30" t="s">
        <v>42</v>
      </c>
      <c r="B193" s="79">
        <v>0</v>
      </c>
      <c r="C193" s="251">
        <v>0</v>
      </c>
      <c r="D193" s="79">
        <v>0</v>
      </c>
      <c r="E193" s="251">
        <v>0</v>
      </c>
      <c r="F193" s="251">
        <v>0</v>
      </c>
      <c r="G193" s="251">
        <v>0</v>
      </c>
      <c r="H193" s="251">
        <v>0</v>
      </c>
      <c r="I193" s="251">
        <v>0</v>
      </c>
      <c r="J193" s="295">
        <f t="shared" ref="J193:J199" si="41">SUM(B193:I193)</f>
        <v>0</v>
      </c>
    </row>
    <row r="194" spans="1:11">
      <c r="A194" s="30" t="s">
        <v>66</v>
      </c>
      <c r="B194" s="79">
        <v>0</v>
      </c>
      <c r="C194" s="251">
        <v>0</v>
      </c>
      <c r="D194" s="79">
        <v>0</v>
      </c>
      <c r="E194" s="251">
        <v>0</v>
      </c>
      <c r="F194" s="251">
        <v>0</v>
      </c>
      <c r="G194" s="251">
        <v>0</v>
      </c>
      <c r="H194" s="251">
        <v>0</v>
      </c>
      <c r="I194" s="251">
        <v>0</v>
      </c>
      <c r="J194" s="295">
        <f t="shared" si="41"/>
        <v>0</v>
      </c>
    </row>
    <row r="195" spans="1:11">
      <c r="A195" s="30" t="s">
        <v>67</v>
      </c>
      <c r="B195" s="79">
        <v>0</v>
      </c>
      <c r="C195" s="217">
        <v>0</v>
      </c>
      <c r="D195" s="79">
        <v>0</v>
      </c>
      <c r="E195" s="251">
        <v>0</v>
      </c>
      <c r="F195" s="251">
        <v>0</v>
      </c>
      <c r="G195" s="251">
        <v>0</v>
      </c>
      <c r="H195" s="251">
        <v>0</v>
      </c>
      <c r="I195" s="251">
        <v>0</v>
      </c>
      <c r="J195" s="295">
        <f t="shared" si="41"/>
        <v>0</v>
      </c>
    </row>
    <row r="196" spans="1:11">
      <c r="A196" s="30" t="s">
        <v>68</v>
      </c>
      <c r="B196" s="79">
        <v>0</v>
      </c>
      <c r="C196" s="217">
        <v>0</v>
      </c>
      <c r="D196" s="79">
        <v>0.45438945904801925</v>
      </c>
      <c r="E196" s="251">
        <v>0.45438945904801925</v>
      </c>
      <c r="F196" s="251">
        <v>0.45438945904801925</v>
      </c>
      <c r="G196" s="251">
        <v>0.45438945904801925</v>
      </c>
      <c r="H196" s="251">
        <v>0.45438945904801925</v>
      </c>
      <c r="I196" s="251">
        <v>0.45438945904801925</v>
      </c>
      <c r="J196" s="295">
        <f t="shared" si="41"/>
        <v>2.7263367542881154</v>
      </c>
    </row>
    <row r="197" spans="1:11">
      <c r="A197" s="30" t="s">
        <v>69</v>
      </c>
      <c r="B197" s="217">
        <v>-1.5517342999999997</v>
      </c>
      <c r="C197" s="217">
        <v>-1.4066937000000006</v>
      </c>
      <c r="D197" s="79">
        <v>-1.4</v>
      </c>
      <c r="E197" s="251">
        <v>-1.7127973999999999</v>
      </c>
      <c r="F197" s="251">
        <v>-0.89150079999999976</v>
      </c>
      <c r="G197" s="251">
        <v>-1.8065957045552314</v>
      </c>
      <c r="H197" s="251">
        <v>-1.6247351045552318</v>
      </c>
      <c r="I197" s="251">
        <v>-1.489198804555232</v>
      </c>
      <c r="J197" s="295">
        <f t="shared" si="41"/>
        <v>-11.883255813665693</v>
      </c>
    </row>
    <row r="198" spans="1:11">
      <c r="A198" s="30" t="s">
        <v>70</v>
      </c>
      <c r="B198" s="79">
        <v>-8.1466722434697661E-8</v>
      </c>
      <c r="C198" s="79">
        <v>2.0174679099185687E-3</v>
      </c>
      <c r="D198" s="79">
        <v>1.9474194694094792E-2</v>
      </c>
      <c r="E198" s="79">
        <v>1.975868707246433E-2</v>
      </c>
      <c r="F198" s="79">
        <v>-0.26097120760938997</v>
      </c>
      <c r="G198" s="79">
        <v>-0.38469091393428984</v>
      </c>
      <c r="H198" s="79">
        <v>-0.50249331778059103</v>
      </c>
      <c r="I198" s="79">
        <v>-0.56162723776300816</v>
      </c>
      <c r="J198" s="295">
        <f t="shared" si="41"/>
        <v>-1.6685324088775237</v>
      </c>
    </row>
    <row r="199" spans="1:11">
      <c r="A199" s="30" t="s">
        <v>71</v>
      </c>
      <c r="B199" s="79">
        <v>-4.6164476046328674E-7</v>
      </c>
      <c r="C199" s="79">
        <v>1.1432318156205223E-2</v>
      </c>
      <c r="D199" s="79">
        <v>0.11035376993320382</v>
      </c>
      <c r="E199" s="79">
        <v>0.11196589341063121</v>
      </c>
      <c r="F199" s="79">
        <v>-1.4788368431198766</v>
      </c>
      <c r="G199" s="79">
        <v>-2.1799151789609756</v>
      </c>
      <c r="H199" s="79">
        <v>-2.8474621340900161</v>
      </c>
      <c r="I199" s="79">
        <v>-3.182554347323713</v>
      </c>
      <c r="J199" s="295">
        <f t="shared" si="41"/>
        <v>-9.4550169836393021</v>
      </c>
    </row>
    <row r="200" spans="1:11">
      <c r="A200" s="40" t="s">
        <v>72</v>
      </c>
      <c r="B200" s="234">
        <f>SUM(B192:B199)</f>
        <v>-1.5517348431114826</v>
      </c>
      <c r="C200" s="234">
        <f t="shared" ref="C200:E200" si="42">SUM(C192:C199)</f>
        <v>-1.3932439139338768</v>
      </c>
      <c r="D200" s="234">
        <f t="shared" si="42"/>
        <v>-0.81578257632468199</v>
      </c>
      <c r="E200" s="234">
        <f t="shared" si="42"/>
        <v>-1.1266833604688851</v>
      </c>
      <c r="F200" s="234">
        <f>SUM(F192:F199)</f>
        <v>-2.1769193916812473</v>
      </c>
      <c r="G200" s="234">
        <f t="shared" ref="G200:I200" si="43">SUM(G192:G199)</f>
        <v>-3.9168123384024778</v>
      </c>
      <c r="H200" s="234">
        <f t="shared" si="43"/>
        <v>-4.5203010973778195</v>
      </c>
      <c r="I200" s="234">
        <f t="shared" si="43"/>
        <v>-4.7789909305939338</v>
      </c>
      <c r="J200" s="234">
        <f>SUM(J192:J199)</f>
        <v>-20.280468451894407</v>
      </c>
    </row>
    <row r="201" spans="1:11">
      <c r="B201" s="73"/>
      <c r="C201" s="65"/>
      <c r="D201" s="87"/>
      <c r="E201" s="65"/>
      <c r="F201" s="65"/>
      <c r="G201" s="65"/>
      <c r="H201" s="65"/>
      <c r="I201" s="65"/>
      <c r="J201" s="65">
        <v>0</v>
      </c>
      <c r="K201" s="5" t="s">
        <v>73</v>
      </c>
    </row>
    <row r="202" spans="1:11">
      <c r="B202" s="73"/>
      <c r="C202" s="65"/>
      <c r="D202" s="87"/>
      <c r="E202" s="65"/>
      <c r="F202" s="65"/>
      <c r="G202" s="65"/>
      <c r="H202" s="65"/>
      <c r="I202" s="65"/>
      <c r="J202" s="65"/>
    </row>
    <row r="203" spans="1:11">
      <c r="A203" s="6" t="s">
        <v>74</v>
      </c>
      <c r="B203" s="73"/>
      <c r="C203" s="65"/>
      <c r="D203" s="87"/>
      <c r="E203" s="65"/>
      <c r="F203" s="65"/>
      <c r="G203" s="65"/>
      <c r="H203" s="65"/>
      <c r="I203" s="65"/>
      <c r="J203" s="65"/>
    </row>
    <row r="204" spans="1:11">
      <c r="A204" s="7"/>
      <c r="B204" s="73"/>
      <c r="C204" s="65"/>
      <c r="D204" s="87"/>
      <c r="E204" s="65"/>
      <c r="F204" s="65"/>
      <c r="G204" s="65"/>
      <c r="H204" s="65"/>
      <c r="I204" s="65"/>
      <c r="J204" s="65"/>
    </row>
    <row r="205" spans="1:11">
      <c r="A205" s="8"/>
      <c r="B205" s="287"/>
      <c r="C205" s="288"/>
      <c r="D205" s="289"/>
      <c r="E205" s="288"/>
      <c r="F205" s="288"/>
      <c r="G205" s="288"/>
      <c r="H205" s="288"/>
      <c r="I205" s="288"/>
      <c r="J205" s="290"/>
    </row>
    <row r="206" spans="1:11">
      <c r="A206" s="17"/>
      <c r="B206" s="202" t="s">
        <v>56</v>
      </c>
      <c r="C206" s="203"/>
      <c r="D206" s="203"/>
      <c r="E206" s="203"/>
      <c r="F206" s="203"/>
      <c r="G206" s="203"/>
      <c r="H206" s="203"/>
      <c r="I206" s="203"/>
      <c r="J206" s="204"/>
    </row>
    <row r="207" spans="1:11">
      <c r="A207" s="26" t="s">
        <v>6</v>
      </c>
      <c r="B207" s="27">
        <v>2014</v>
      </c>
      <c r="C207" s="291">
        <v>2015</v>
      </c>
      <c r="D207" s="291">
        <v>2016</v>
      </c>
      <c r="E207" s="292">
        <v>2017</v>
      </c>
      <c r="F207" s="291">
        <v>2018</v>
      </c>
      <c r="G207" s="292">
        <v>2019</v>
      </c>
      <c r="H207" s="291">
        <v>2020</v>
      </c>
      <c r="I207" s="293">
        <v>2021</v>
      </c>
      <c r="J207" s="294" t="s">
        <v>65</v>
      </c>
    </row>
    <row r="208" spans="1:11">
      <c r="A208" s="30" t="s">
        <v>7</v>
      </c>
      <c r="B208" s="80"/>
      <c r="C208" s="295"/>
      <c r="D208" s="80"/>
      <c r="E208" s="295"/>
      <c r="F208" s="295"/>
      <c r="G208" s="295"/>
      <c r="H208" s="295"/>
      <c r="I208" s="295"/>
      <c r="J208" s="295">
        <f>SUM(B208:I208)</f>
        <v>0</v>
      </c>
    </row>
    <row r="209" spans="1:10">
      <c r="A209" s="30" t="s">
        <v>8</v>
      </c>
      <c r="B209" s="79">
        <f t="shared" ref="B209:I209" si="44">+B196</f>
        <v>0</v>
      </c>
      <c r="C209" s="251">
        <f t="shared" si="44"/>
        <v>0</v>
      </c>
      <c r="D209" s="79">
        <f t="shared" si="44"/>
        <v>0.45438945904801925</v>
      </c>
      <c r="E209" s="251">
        <f t="shared" si="44"/>
        <v>0.45438945904801925</v>
      </c>
      <c r="F209" s="251">
        <f t="shared" si="44"/>
        <v>0.45438945904801925</v>
      </c>
      <c r="G209" s="251">
        <f t="shared" si="44"/>
        <v>0.45438945904801925</v>
      </c>
      <c r="H209" s="251">
        <f t="shared" si="44"/>
        <v>0.45438945904801925</v>
      </c>
      <c r="I209" s="251">
        <f t="shared" si="44"/>
        <v>0.45438945904801925</v>
      </c>
      <c r="J209" s="251">
        <f t="shared" ref="J209:J218" si="45">SUM(B209:I209)</f>
        <v>2.7263367542881154</v>
      </c>
    </row>
    <row r="210" spans="1:10">
      <c r="A210" s="30" t="s">
        <v>9</v>
      </c>
      <c r="B210" s="79"/>
      <c r="C210" s="251"/>
      <c r="D210" s="79"/>
      <c r="E210" s="251"/>
      <c r="F210" s="251"/>
      <c r="G210" s="251"/>
      <c r="H210" s="251"/>
      <c r="I210" s="251"/>
      <c r="J210" s="251">
        <f t="shared" si="45"/>
        <v>0</v>
      </c>
    </row>
    <row r="211" spans="1:10">
      <c r="A211" s="30" t="s">
        <v>10</v>
      </c>
      <c r="B211" s="79"/>
      <c r="C211" s="217"/>
      <c r="D211" s="79"/>
      <c r="E211" s="251"/>
      <c r="F211" s="251"/>
      <c r="G211" s="251"/>
      <c r="H211" s="251"/>
      <c r="I211" s="251"/>
      <c r="J211" s="251">
        <f t="shared" si="45"/>
        <v>0</v>
      </c>
    </row>
    <row r="212" spans="1:10">
      <c r="A212" s="30" t="s">
        <v>11</v>
      </c>
      <c r="B212" s="79">
        <f>B198</f>
        <v>-8.1466722434697661E-8</v>
      </c>
      <c r="C212" s="79">
        <f t="shared" ref="C212:I212" si="46">C198</f>
        <v>2.0174679099185687E-3</v>
      </c>
      <c r="D212" s="79">
        <f t="shared" si="46"/>
        <v>1.9474194694094792E-2</v>
      </c>
      <c r="E212" s="79">
        <f t="shared" si="46"/>
        <v>1.975868707246433E-2</v>
      </c>
      <c r="F212" s="79">
        <f t="shared" si="46"/>
        <v>-0.26097120760938997</v>
      </c>
      <c r="G212" s="79">
        <f t="shared" si="46"/>
        <v>-0.38469091393428984</v>
      </c>
      <c r="H212" s="79">
        <f t="shared" si="46"/>
        <v>-0.50249331778059103</v>
      </c>
      <c r="I212" s="79">
        <f t="shared" si="46"/>
        <v>-0.56162723776300816</v>
      </c>
      <c r="J212" s="251">
        <f t="shared" si="45"/>
        <v>-1.6685324088775237</v>
      </c>
    </row>
    <row r="213" spans="1:10">
      <c r="A213" s="37" t="s">
        <v>12</v>
      </c>
      <c r="B213" s="296"/>
      <c r="C213" s="225"/>
      <c r="D213" s="296"/>
      <c r="E213" s="253"/>
      <c r="F213" s="253"/>
      <c r="G213" s="253"/>
      <c r="H213" s="253"/>
      <c r="I213" s="253"/>
      <c r="J213" s="253">
        <f t="shared" si="45"/>
        <v>0</v>
      </c>
    </row>
    <row r="214" spans="1:10">
      <c r="A214" s="37" t="s">
        <v>13</v>
      </c>
      <c r="B214" s="296"/>
      <c r="C214" s="225"/>
      <c r="D214" s="296"/>
      <c r="E214" s="253"/>
      <c r="F214" s="253"/>
      <c r="G214" s="253"/>
      <c r="H214" s="253"/>
      <c r="I214" s="253"/>
      <c r="J214" s="253">
        <f t="shared" si="45"/>
        <v>0</v>
      </c>
    </row>
    <row r="215" spans="1:10">
      <c r="A215" s="40" t="s">
        <v>14</v>
      </c>
      <c r="B215" s="234">
        <f>SUM(B208:B212)</f>
        <v>-8.1466722434697661E-8</v>
      </c>
      <c r="C215" s="234">
        <f t="shared" ref="C215:J215" si="47">SUM(C208:C212)</f>
        <v>2.0174679099185687E-3</v>
      </c>
      <c r="D215" s="234">
        <f t="shared" si="47"/>
        <v>0.47386365374211403</v>
      </c>
      <c r="E215" s="234">
        <f t="shared" si="47"/>
        <v>0.47414814612048356</v>
      </c>
      <c r="F215" s="234">
        <f t="shared" si="47"/>
        <v>0.19341825143862929</v>
      </c>
      <c r="G215" s="234">
        <f t="shared" si="47"/>
        <v>6.9698545113729415E-2</v>
      </c>
      <c r="H215" s="234">
        <f t="shared" si="47"/>
        <v>-4.810385873257178E-2</v>
      </c>
      <c r="I215" s="234">
        <f t="shared" si="47"/>
        <v>-0.10723777871498891</v>
      </c>
      <c r="J215" s="234">
        <f t="shared" si="47"/>
        <v>1.0578043454105917</v>
      </c>
    </row>
    <row r="216" spans="1:10">
      <c r="A216" s="30" t="s">
        <v>15</v>
      </c>
      <c r="B216" s="80">
        <f t="shared" ref="B216:I216" si="48">+B197</f>
        <v>-1.5517342999999997</v>
      </c>
      <c r="C216" s="80">
        <f t="shared" si="48"/>
        <v>-1.4066937000000006</v>
      </c>
      <c r="D216" s="80">
        <f t="shared" si="48"/>
        <v>-1.4</v>
      </c>
      <c r="E216" s="80">
        <f t="shared" si="48"/>
        <v>-1.7127973999999999</v>
      </c>
      <c r="F216" s="80">
        <f t="shared" si="48"/>
        <v>-0.89150079999999976</v>
      </c>
      <c r="G216" s="80">
        <f t="shared" si="48"/>
        <v>-1.8065957045552314</v>
      </c>
      <c r="H216" s="80">
        <f t="shared" si="48"/>
        <v>-1.6247351045552318</v>
      </c>
      <c r="I216" s="80">
        <f t="shared" si="48"/>
        <v>-1.489198804555232</v>
      </c>
      <c r="J216" s="251">
        <f t="shared" si="45"/>
        <v>-11.883255813665693</v>
      </c>
    </row>
    <row r="217" spans="1:10">
      <c r="A217" s="30" t="s">
        <v>16</v>
      </c>
      <c r="B217" s="79"/>
      <c r="C217" s="79"/>
      <c r="D217" s="79"/>
      <c r="E217" s="79"/>
      <c r="F217" s="79"/>
      <c r="G217" s="79"/>
      <c r="H217" s="79"/>
      <c r="I217" s="79"/>
      <c r="J217" s="251">
        <f t="shared" si="45"/>
        <v>0</v>
      </c>
    </row>
    <row r="218" spans="1:10">
      <c r="A218" s="30" t="s">
        <v>50</v>
      </c>
      <c r="B218" s="235"/>
      <c r="C218" s="235"/>
      <c r="D218" s="235"/>
      <c r="E218" s="235"/>
      <c r="F218" s="235"/>
      <c r="G218" s="235"/>
      <c r="H218" s="235"/>
      <c r="I218" s="235"/>
      <c r="J218" s="251">
        <f t="shared" si="45"/>
        <v>0</v>
      </c>
    </row>
    <row r="219" spans="1:10">
      <c r="A219" s="40" t="s">
        <v>18</v>
      </c>
      <c r="B219" s="234">
        <f>SUM(B216:B218)</f>
        <v>-1.5517342999999997</v>
      </c>
      <c r="C219" s="234">
        <f t="shared" ref="C219:I219" si="49">SUM(C216:C218)</f>
        <v>-1.4066937000000006</v>
      </c>
      <c r="D219" s="234">
        <f t="shared" si="49"/>
        <v>-1.4</v>
      </c>
      <c r="E219" s="234">
        <f t="shared" si="49"/>
        <v>-1.7127973999999999</v>
      </c>
      <c r="F219" s="234">
        <f t="shared" si="49"/>
        <v>-0.89150079999999976</v>
      </c>
      <c r="G219" s="234">
        <f t="shared" si="49"/>
        <v>-1.8065957045552314</v>
      </c>
      <c r="H219" s="234">
        <f t="shared" si="49"/>
        <v>-1.6247351045552318</v>
      </c>
      <c r="I219" s="234">
        <f t="shared" si="49"/>
        <v>-1.489198804555232</v>
      </c>
      <c r="J219" s="234">
        <f>SUM(J216:J218)</f>
        <v>-11.883255813665693</v>
      </c>
    </row>
    <row r="220" spans="1:10">
      <c r="A220" s="48" t="s">
        <v>19</v>
      </c>
      <c r="B220" s="79"/>
      <c r="C220" s="217"/>
      <c r="D220" s="297"/>
      <c r="E220" s="251"/>
      <c r="F220" s="298"/>
      <c r="G220" s="251"/>
      <c r="H220" s="298"/>
      <c r="I220" s="251"/>
      <c r="J220" s="251">
        <f t="shared" ref="J220:J226" si="50">SUM(B220:I220)</f>
        <v>0</v>
      </c>
    </row>
    <row r="221" spans="1:10">
      <c r="A221" s="48" t="s">
        <v>20</v>
      </c>
      <c r="B221" s="214"/>
      <c r="C221" s="251"/>
      <c r="D221" s="297"/>
      <c r="E221" s="251"/>
      <c r="F221" s="298"/>
      <c r="G221" s="251"/>
      <c r="H221" s="298"/>
      <c r="I221" s="251"/>
      <c r="J221" s="251">
        <f t="shared" si="50"/>
        <v>0</v>
      </c>
    </row>
    <row r="222" spans="1:10">
      <c r="A222" s="48" t="s">
        <v>21</v>
      </c>
      <c r="B222" s="214"/>
      <c r="C222" s="251"/>
      <c r="D222" s="297"/>
      <c r="E222" s="251"/>
      <c r="F222" s="298"/>
      <c r="G222" s="251"/>
      <c r="H222" s="298"/>
      <c r="I222" s="251"/>
      <c r="J222" s="251">
        <f t="shared" si="50"/>
        <v>0</v>
      </c>
    </row>
    <row r="223" spans="1:10">
      <c r="A223" s="48" t="s">
        <v>22</v>
      </c>
      <c r="B223" s="214"/>
      <c r="C223" s="251"/>
      <c r="D223" s="297"/>
      <c r="E223" s="251"/>
      <c r="F223" s="298"/>
      <c r="G223" s="251"/>
      <c r="H223" s="298"/>
      <c r="I223" s="251"/>
      <c r="J223" s="251">
        <f t="shared" si="50"/>
        <v>0</v>
      </c>
    </row>
    <row r="224" spans="1:10">
      <c r="A224" s="48" t="s">
        <v>23</v>
      </c>
      <c r="B224" s="214"/>
      <c r="C224" s="251"/>
      <c r="D224" s="297"/>
      <c r="E224" s="251"/>
      <c r="F224" s="298"/>
      <c r="G224" s="251"/>
      <c r="H224" s="298"/>
      <c r="I224" s="251"/>
      <c r="J224" s="251">
        <f t="shared" si="50"/>
        <v>0</v>
      </c>
    </row>
    <row r="225" spans="1:10">
      <c r="A225" s="48" t="s">
        <v>24</v>
      </c>
      <c r="B225" s="214">
        <f>B199</f>
        <v>-4.6164476046328674E-7</v>
      </c>
      <c r="C225" s="214">
        <f t="shared" ref="C225:I225" si="51">C199</f>
        <v>1.1432318156205223E-2</v>
      </c>
      <c r="D225" s="214">
        <f t="shared" si="51"/>
        <v>0.11035376993320382</v>
      </c>
      <c r="E225" s="214">
        <f t="shared" si="51"/>
        <v>0.11196589341063121</v>
      </c>
      <c r="F225" s="214">
        <f t="shared" si="51"/>
        <v>-1.4788368431198766</v>
      </c>
      <c r="G225" s="214">
        <f t="shared" si="51"/>
        <v>-2.1799151789609756</v>
      </c>
      <c r="H225" s="214">
        <f t="shared" si="51"/>
        <v>-2.8474621340900161</v>
      </c>
      <c r="I225" s="214">
        <f t="shared" si="51"/>
        <v>-3.182554347323713</v>
      </c>
      <c r="J225" s="251">
        <f t="shared" si="50"/>
        <v>-9.4550169836393021</v>
      </c>
    </row>
    <row r="226" spans="1:10">
      <c r="A226" s="37" t="s">
        <v>57</v>
      </c>
      <c r="B226" s="222">
        <f>B225</f>
        <v>-4.6164476046328674E-7</v>
      </c>
      <c r="C226" s="222">
        <f t="shared" ref="C226:I226" si="52">C225</f>
        <v>1.1432318156205223E-2</v>
      </c>
      <c r="D226" s="222">
        <f t="shared" si="52"/>
        <v>0.11035376993320382</v>
      </c>
      <c r="E226" s="222">
        <f t="shared" si="52"/>
        <v>0.11196589341063121</v>
      </c>
      <c r="F226" s="222">
        <f t="shared" si="52"/>
        <v>-1.4788368431198766</v>
      </c>
      <c r="G226" s="222">
        <f t="shared" si="52"/>
        <v>-2.1799151789609756</v>
      </c>
      <c r="H226" s="222">
        <f t="shared" si="52"/>
        <v>-2.8474621340900161</v>
      </c>
      <c r="I226" s="222">
        <f t="shared" si="52"/>
        <v>-3.182554347323713</v>
      </c>
      <c r="J226" s="253">
        <f t="shared" si="50"/>
        <v>-9.4550169836393021</v>
      </c>
    </row>
    <row r="227" spans="1:10">
      <c r="A227" s="52" t="s">
        <v>26</v>
      </c>
      <c r="B227" s="255">
        <f>SUM(B220:B225)</f>
        <v>-4.6164476046328674E-7</v>
      </c>
      <c r="C227" s="255">
        <f t="shared" ref="C227:J227" si="53">SUM(C220:C225)</f>
        <v>1.1432318156205223E-2</v>
      </c>
      <c r="D227" s="255">
        <f t="shared" si="53"/>
        <v>0.11035376993320382</v>
      </c>
      <c r="E227" s="255">
        <f t="shared" si="53"/>
        <v>0.11196589341063121</v>
      </c>
      <c r="F227" s="255">
        <f t="shared" si="53"/>
        <v>-1.4788368431198766</v>
      </c>
      <c r="G227" s="255">
        <f t="shared" si="53"/>
        <v>-2.1799151789609756</v>
      </c>
      <c r="H227" s="255">
        <f t="shared" si="53"/>
        <v>-2.8474621340900161</v>
      </c>
      <c r="I227" s="255">
        <f t="shared" si="53"/>
        <v>-3.182554347323713</v>
      </c>
      <c r="J227" s="255">
        <f t="shared" si="53"/>
        <v>-9.4550169836393021</v>
      </c>
    </row>
    <row r="228" spans="1:10">
      <c r="A228" s="48" t="s">
        <v>27</v>
      </c>
      <c r="B228" s="261"/>
      <c r="C228" s="262"/>
      <c r="D228" s="299"/>
      <c r="E228" s="262"/>
      <c r="F228" s="300"/>
      <c r="G228" s="262"/>
      <c r="H228" s="300"/>
      <c r="I228" s="262"/>
      <c r="J228" s="262">
        <f>SUM(B228:I228)</f>
        <v>0</v>
      </c>
    </row>
    <row r="229" spans="1:10">
      <c r="A229" s="48" t="s">
        <v>28</v>
      </c>
      <c r="B229" s="261"/>
      <c r="C229" s="262"/>
      <c r="D229" s="299"/>
      <c r="E229" s="262"/>
      <c r="F229" s="300"/>
      <c r="G229" s="262"/>
      <c r="H229" s="300"/>
      <c r="I229" s="262"/>
      <c r="J229" s="262">
        <f>SUM(B229:I229)</f>
        <v>0</v>
      </c>
    </row>
    <row r="230" spans="1:10">
      <c r="A230" s="56" t="s">
        <v>29</v>
      </c>
      <c r="B230" s="214"/>
      <c r="C230" s="251"/>
      <c r="D230" s="297"/>
      <c r="E230" s="251"/>
      <c r="F230" s="298"/>
      <c r="G230" s="251"/>
      <c r="H230" s="298"/>
      <c r="I230" s="251"/>
      <c r="J230" s="79">
        <f>SUM(B230:I230)</f>
        <v>0</v>
      </c>
    </row>
    <row r="231" spans="1:10">
      <c r="A231" s="57" t="s">
        <v>30</v>
      </c>
      <c r="B231" s="255">
        <f>SUM(B227,B230)</f>
        <v>-4.6164476046328674E-7</v>
      </c>
      <c r="C231" s="255">
        <f t="shared" ref="C231:J231" si="54">SUM(C227,C230)</f>
        <v>1.1432318156205223E-2</v>
      </c>
      <c r="D231" s="255">
        <f t="shared" si="54"/>
        <v>0.11035376993320382</v>
      </c>
      <c r="E231" s="255">
        <f t="shared" si="54"/>
        <v>0.11196589341063121</v>
      </c>
      <c r="F231" s="255">
        <f t="shared" si="54"/>
        <v>-1.4788368431198766</v>
      </c>
      <c r="G231" s="255">
        <f t="shared" si="54"/>
        <v>-2.1799151789609756</v>
      </c>
      <c r="H231" s="255">
        <f t="shared" si="54"/>
        <v>-2.8474621340900161</v>
      </c>
      <c r="I231" s="255">
        <f t="shared" si="54"/>
        <v>-3.182554347323713</v>
      </c>
      <c r="J231" s="255">
        <f t="shared" si="54"/>
        <v>-9.4550169836393021</v>
      </c>
    </row>
    <row r="232" spans="1:10">
      <c r="A232" s="301" t="s">
        <v>32</v>
      </c>
      <c r="B232" s="174">
        <f>SUM(B231,B219,B215)</f>
        <v>-1.5517348431114826</v>
      </c>
      <c r="C232" s="302">
        <f t="shared" ref="C232:J232" si="55">SUM(C231,C219,C215)</f>
        <v>-1.3932439139338768</v>
      </c>
      <c r="D232" s="302">
        <f t="shared" si="55"/>
        <v>-0.8157825763246821</v>
      </c>
      <c r="E232" s="302">
        <f t="shared" si="55"/>
        <v>-1.1266833604688853</v>
      </c>
      <c r="F232" s="302">
        <f t="shared" si="55"/>
        <v>-2.1769193916812473</v>
      </c>
      <c r="G232" s="302">
        <f t="shared" si="55"/>
        <v>-3.9168123384024773</v>
      </c>
      <c r="H232" s="302">
        <f t="shared" si="55"/>
        <v>-4.5203010973778195</v>
      </c>
      <c r="I232" s="302">
        <f t="shared" si="55"/>
        <v>-4.7789909305939338</v>
      </c>
      <c r="J232" s="302">
        <f t="shared" si="55"/>
        <v>-20.280468451894404</v>
      </c>
    </row>
    <row r="233" spans="1:10">
      <c r="G233" s="303"/>
    </row>
    <row r="234" spans="1:10">
      <c r="B234" s="304" t="str">
        <f>IF(B200=B232,"OK","Error")</f>
        <v>OK</v>
      </c>
      <c r="C234" s="304" t="str">
        <f t="shared" ref="C234:J234" si="56">IF(C200=C232,"OK","Error")</f>
        <v>OK</v>
      </c>
      <c r="D234" s="304" t="str">
        <f t="shared" si="56"/>
        <v>OK</v>
      </c>
      <c r="E234" s="304" t="str">
        <f t="shared" si="56"/>
        <v>OK</v>
      </c>
      <c r="F234" s="304" t="str">
        <f t="shared" si="56"/>
        <v>OK</v>
      </c>
      <c r="G234" s="304" t="str">
        <f t="shared" si="56"/>
        <v>OK</v>
      </c>
      <c r="H234" s="304" t="str">
        <f t="shared" si="56"/>
        <v>OK</v>
      </c>
      <c r="I234" s="304" t="str">
        <f t="shared" si="56"/>
        <v>OK</v>
      </c>
      <c r="J234" s="304" t="str">
        <f t="shared" si="56"/>
        <v>OK</v>
      </c>
    </row>
    <row r="236" spans="1:10">
      <c r="A236" s="5" t="s">
        <v>75</v>
      </c>
    </row>
    <row r="237" spans="1:10">
      <c r="A237" s="5" t="s">
        <v>76</v>
      </c>
    </row>
  </sheetData>
  <mergeCells count="14">
    <mergeCell ref="B190:J190"/>
    <mergeCell ref="B206:J206"/>
    <mergeCell ref="M59:U60"/>
    <mergeCell ref="X59:AF60"/>
    <mergeCell ref="B110:J110"/>
    <mergeCell ref="M110:U110"/>
    <mergeCell ref="X110:AF110"/>
    <mergeCell ref="B151:J151"/>
    <mergeCell ref="B9:E10"/>
    <mergeCell ref="F9:F10"/>
    <mergeCell ref="G9:I10"/>
    <mergeCell ref="J9:J11"/>
    <mergeCell ref="B59:F60"/>
    <mergeCell ref="G59:I60"/>
  </mergeCells>
  <conditionalFormatting sqref="J187">
    <cfRule type="cellIs" dxfId="1" priority="2" operator="equal">
      <formula>"error"</formula>
    </cfRule>
  </conditionalFormatting>
  <conditionalFormatting sqref="B187">
    <cfRule type="cellIs" dxfId="0" priority="1" operator="equal">
      <formula>"error"</formula>
    </cfRule>
  </conditionalFormatting>
  <dataValidations count="1">
    <dataValidation type="list" allowBlank="1" showInputMessage="1" showErrorMessage="1" sqref="B1">
      <formula1>B934:B939</formula1>
    </dataValidation>
  </dataValidations>
  <pageMargins left="0.70866141732283472" right="0.70866141732283472" top="0.74803149606299213" bottom="0.74803149606299213" header="0.31496062992125984" footer="0.31496062992125984"/>
  <pageSetup paperSize="8" scale="40" fitToHeight="2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rowBreaks count="1" manualBreakCount="1"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I93"/>
  <sheetViews>
    <sheetView topLeftCell="A52" zoomScale="90" zoomScaleNormal="90" workbookViewId="0">
      <selection activeCell="K83" sqref="K83"/>
    </sheetView>
  </sheetViews>
  <sheetFormatPr defaultColWidth="9.140625" defaultRowHeight="12.75"/>
  <cols>
    <col min="1" max="1" width="33.7109375" style="5" customWidth="1"/>
    <col min="2" max="2" width="19.85546875" style="5" customWidth="1"/>
    <col min="3" max="4" width="15" style="5" customWidth="1"/>
    <col min="5" max="5" width="15" style="6" customWidth="1"/>
    <col min="6" max="12" width="15" style="5" customWidth="1"/>
    <col min="13" max="13" width="32.85546875" style="5" customWidth="1"/>
    <col min="14" max="14" width="9.140625" style="5"/>
    <col min="15" max="15" width="10.28515625" style="5" customWidth="1"/>
    <col min="16" max="16" width="11" style="5" bestFit="1" customWidth="1"/>
    <col min="17" max="17" width="11" style="6" bestFit="1" customWidth="1"/>
    <col min="18" max="19" width="11" style="5" bestFit="1" customWidth="1"/>
    <col min="20" max="22" width="9.42578125" style="5" bestFit="1" customWidth="1"/>
    <col min="23" max="23" width="13.28515625" style="5" bestFit="1" customWidth="1"/>
    <col min="24" max="24" width="9.140625" style="5"/>
    <col min="25" max="25" width="32.42578125" style="5" customWidth="1"/>
    <col min="26" max="26" width="9.140625" style="5"/>
    <col min="27" max="34" width="10.85546875" style="5" bestFit="1" customWidth="1"/>
    <col min="35" max="35" width="13.85546875" style="5" bestFit="1" customWidth="1"/>
    <col min="36" max="16384" width="9.140625" style="5"/>
  </cols>
  <sheetData>
    <row r="1" spans="1:35" s="3" customFormat="1" ht="24.75">
      <c r="A1" s="1" t="s">
        <v>254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s="3" customFormat="1" ht="24.75">
      <c r="A2" s="1" t="s">
        <v>255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s="3" customFormat="1" ht="24.75">
      <c r="A3" s="1" t="s">
        <v>256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5" spans="1:35" ht="19.5">
      <c r="A5" s="4" t="s">
        <v>77</v>
      </c>
    </row>
    <row r="7" spans="1:35">
      <c r="A7" s="6" t="s">
        <v>78</v>
      </c>
      <c r="B7" s="6"/>
    </row>
    <row r="9" spans="1:35" ht="12.75" customHeight="1">
      <c r="A9" s="8"/>
      <c r="B9" s="305"/>
      <c r="C9" s="306" t="s">
        <v>2</v>
      </c>
      <c r="D9" s="307"/>
      <c r="E9" s="307"/>
      <c r="F9" s="308"/>
      <c r="G9" s="309" t="s">
        <v>3</v>
      </c>
      <c r="H9" s="310" t="s">
        <v>4</v>
      </c>
      <c r="I9" s="310"/>
      <c r="J9" s="311"/>
      <c r="K9" s="312" t="s">
        <v>5</v>
      </c>
    </row>
    <row r="10" spans="1:35">
      <c r="A10" s="17"/>
      <c r="B10" s="313"/>
      <c r="C10" s="314"/>
      <c r="D10" s="315"/>
      <c r="E10" s="315"/>
      <c r="F10" s="316"/>
      <c r="G10" s="317"/>
      <c r="H10" s="318"/>
      <c r="I10" s="318"/>
      <c r="J10" s="319"/>
      <c r="K10" s="320"/>
    </row>
    <row r="11" spans="1:35">
      <c r="A11" s="26" t="s">
        <v>79</v>
      </c>
      <c r="B11" s="321"/>
      <c r="C11" s="322">
        <v>2014</v>
      </c>
      <c r="D11" s="323">
        <v>2015</v>
      </c>
      <c r="E11" s="323">
        <v>2016</v>
      </c>
      <c r="F11" s="323">
        <v>2017</v>
      </c>
      <c r="G11" s="323">
        <v>2018</v>
      </c>
      <c r="H11" s="323">
        <v>2019</v>
      </c>
      <c r="I11" s="323">
        <v>2020</v>
      </c>
      <c r="J11" s="323">
        <v>2021</v>
      </c>
      <c r="K11" s="324"/>
    </row>
    <row r="12" spans="1:35">
      <c r="A12" s="325" t="s">
        <v>80</v>
      </c>
      <c r="B12" s="326"/>
      <c r="C12" s="327"/>
      <c r="D12" s="328"/>
      <c r="E12" s="329"/>
      <c r="F12" s="330"/>
      <c r="G12" s="331"/>
      <c r="H12" s="331"/>
      <c r="I12" s="331"/>
      <c r="J12" s="331"/>
      <c r="K12" s="332"/>
    </row>
    <row r="13" spans="1:35" ht="14.25">
      <c r="A13" s="333" t="s">
        <v>81</v>
      </c>
      <c r="B13" s="334" t="s">
        <v>82</v>
      </c>
      <c r="C13" s="335">
        <f t="shared" ref="C13:F14" si="0">+C42</f>
        <v>9579</v>
      </c>
      <c r="D13" s="335">
        <f t="shared" si="0"/>
        <v>8466</v>
      </c>
      <c r="E13" s="335">
        <f t="shared" si="0"/>
        <v>7047</v>
      </c>
      <c r="F13" s="335">
        <f t="shared" si="0"/>
        <v>6631</v>
      </c>
      <c r="G13" s="336">
        <v>6359</v>
      </c>
      <c r="H13" s="337">
        <v>8162.9668057841527</v>
      </c>
      <c r="I13" s="337">
        <v>7918.0778016106278</v>
      </c>
      <c r="J13" s="337">
        <v>7680.5354675623084</v>
      </c>
      <c r="K13" s="338">
        <f>SUM(C13:J13)</f>
        <v>61843.580074957092</v>
      </c>
    </row>
    <row r="14" spans="1:35" ht="14.25">
      <c r="A14" s="333" t="s">
        <v>83</v>
      </c>
      <c r="B14" s="339" t="s">
        <v>82</v>
      </c>
      <c r="C14" s="340">
        <f t="shared" si="0"/>
        <v>12130</v>
      </c>
      <c r="D14" s="340">
        <f t="shared" si="0"/>
        <v>8846</v>
      </c>
      <c r="E14" s="340">
        <f t="shared" si="0"/>
        <v>8675</v>
      </c>
      <c r="F14" s="340">
        <f t="shared" si="0"/>
        <v>7894</v>
      </c>
      <c r="G14" s="341">
        <v>8047</v>
      </c>
      <c r="H14" s="342">
        <v>9717.7590054079465</v>
      </c>
      <c r="I14" s="342">
        <v>9426.2262352457074</v>
      </c>
      <c r="J14" s="342">
        <v>9143.4394481883355</v>
      </c>
      <c r="K14" s="343">
        <f>SUM(C14:J14)</f>
        <v>73879.424688841988</v>
      </c>
    </row>
    <row r="15" spans="1:35" ht="14.25">
      <c r="A15" s="333" t="s">
        <v>84</v>
      </c>
      <c r="B15" s="344" t="s">
        <v>82</v>
      </c>
      <c r="C15" s="345">
        <v>1</v>
      </c>
      <c r="D15" s="345">
        <v>2</v>
      </c>
      <c r="E15" s="345">
        <v>3</v>
      </c>
      <c r="F15" s="345">
        <v>7</v>
      </c>
      <c r="G15" s="346">
        <v>3</v>
      </c>
      <c r="H15" s="347">
        <v>3</v>
      </c>
      <c r="I15" s="347">
        <v>3</v>
      </c>
      <c r="J15" s="347">
        <v>1</v>
      </c>
      <c r="K15" s="348">
        <f>SUM(C15:J15)</f>
        <v>23</v>
      </c>
    </row>
    <row r="16" spans="1:35">
      <c r="A16" s="349"/>
      <c r="B16" s="350"/>
      <c r="C16" s="351"/>
      <c r="D16" s="351"/>
      <c r="E16" s="351"/>
      <c r="F16" s="352"/>
      <c r="G16" s="353"/>
      <c r="H16" s="353"/>
      <c r="I16" s="353"/>
      <c r="J16" s="353"/>
      <c r="K16" s="338"/>
    </row>
    <row r="17" spans="1:13">
      <c r="A17" s="354" t="s">
        <v>85</v>
      </c>
      <c r="B17" s="355"/>
      <c r="C17" s="356"/>
      <c r="D17" s="356"/>
      <c r="E17" s="356"/>
      <c r="F17" s="357"/>
      <c r="G17" s="358"/>
      <c r="H17" s="358"/>
      <c r="I17" s="358"/>
      <c r="J17" s="358"/>
      <c r="K17" s="348"/>
    </row>
    <row r="18" spans="1:13">
      <c r="A18" s="333" t="s">
        <v>86</v>
      </c>
      <c r="B18" s="359" t="s">
        <v>87</v>
      </c>
      <c r="C18" s="360">
        <f t="shared" ref="C18:F25" si="1">+C47</f>
        <v>8.5635000000000012</v>
      </c>
      <c r="D18" s="360">
        <f t="shared" si="1"/>
        <v>5.7684999999999995</v>
      </c>
      <c r="E18" s="360">
        <f t="shared" si="1"/>
        <v>9.8895</v>
      </c>
      <c r="F18" s="360">
        <f t="shared" si="1"/>
        <v>6.0709999999999997</v>
      </c>
      <c r="G18" s="361">
        <v>6.9180100000000007</v>
      </c>
      <c r="H18" s="32">
        <v>13.036195153217504</v>
      </c>
      <c r="I18" s="32">
        <v>11.815293642605328</v>
      </c>
      <c r="J18" s="32">
        <v>12.22446646650168</v>
      </c>
      <c r="K18" s="362">
        <f t="shared" ref="K18:K25" si="2">SUM(C18:J18)</f>
        <v>74.286465262324512</v>
      </c>
      <c r="M18" s="42"/>
    </row>
    <row r="19" spans="1:13" ht="14.25">
      <c r="A19" s="333" t="s">
        <v>88</v>
      </c>
      <c r="B19" s="339" t="s">
        <v>82</v>
      </c>
      <c r="C19" s="341">
        <f t="shared" si="1"/>
        <v>4</v>
      </c>
      <c r="D19" s="341">
        <f t="shared" si="1"/>
        <v>3</v>
      </c>
      <c r="E19" s="341">
        <f t="shared" si="1"/>
        <v>4</v>
      </c>
      <c r="F19" s="341">
        <f t="shared" si="1"/>
        <v>6</v>
      </c>
      <c r="G19" s="341">
        <v>1</v>
      </c>
      <c r="H19" s="342">
        <v>8</v>
      </c>
      <c r="I19" s="342">
        <v>8</v>
      </c>
      <c r="J19" s="342">
        <v>8</v>
      </c>
      <c r="K19" s="363">
        <f t="shared" si="2"/>
        <v>42</v>
      </c>
    </row>
    <row r="20" spans="1:13" ht="14.25">
      <c r="A20" s="333" t="s">
        <v>89</v>
      </c>
      <c r="B20" s="344" t="s">
        <v>82</v>
      </c>
      <c r="C20" s="345">
        <f t="shared" si="1"/>
        <v>6310</v>
      </c>
      <c r="D20" s="345">
        <f t="shared" si="1"/>
        <v>6866</v>
      </c>
      <c r="E20" s="345">
        <f t="shared" si="1"/>
        <v>7479</v>
      </c>
      <c r="F20" s="345">
        <f t="shared" si="1"/>
        <v>7912</v>
      </c>
      <c r="G20" s="345">
        <v>7201</v>
      </c>
      <c r="H20" s="347">
        <f>SUM(H21:H24)</f>
        <v>7144</v>
      </c>
      <c r="I20" s="347">
        <f t="shared" ref="I20:J20" si="3">SUM(I21:I24)</f>
        <v>5563</v>
      </c>
      <c r="J20" s="347">
        <f t="shared" si="3"/>
        <v>5596</v>
      </c>
      <c r="K20" s="348">
        <f t="shared" si="2"/>
        <v>54071</v>
      </c>
    </row>
    <row r="21" spans="1:13" ht="14.25">
      <c r="A21" s="333" t="s">
        <v>90</v>
      </c>
      <c r="B21" s="334" t="s">
        <v>82</v>
      </c>
      <c r="C21" s="335">
        <f t="shared" si="1"/>
        <v>1660</v>
      </c>
      <c r="D21" s="335">
        <f t="shared" si="1"/>
        <v>2257</v>
      </c>
      <c r="E21" s="335">
        <f t="shared" si="1"/>
        <v>2062</v>
      </c>
      <c r="F21" s="335">
        <f t="shared" si="1"/>
        <v>2471</v>
      </c>
      <c r="G21" s="336">
        <v>2613</v>
      </c>
      <c r="H21" s="337">
        <v>2246</v>
      </c>
      <c r="I21" s="337">
        <v>2322</v>
      </c>
      <c r="J21" s="337">
        <v>2379</v>
      </c>
      <c r="K21" s="338">
        <f t="shared" si="2"/>
        <v>18010</v>
      </c>
    </row>
    <row r="22" spans="1:13" ht="14.25">
      <c r="A22" s="333" t="s">
        <v>91</v>
      </c>
      <c r="B22" s="339" t="s">
        <v>82</v>
      </c>
      <c r="C22" s="340">
        <f t="shared" si="1"/>
        <v>3051</v>
      </c>
      <c r="D22" s="340">
        <f t="shared" si="1"/>
        <v>2504</v>
      </c>
      <c r="E22" s="340">
        <f t="shared" si="1"/>
        <v>2366</v>
      </c>
      <c r="F22" s="340">
        <f t="shared" si="1"/>
        <v>2345</v>
      </c>
      <c r="G22" s="341">
        <v>2075</v>
      </c>
      <c r="H22" s="342">
        <v>1875</v>
      </c>
      <c r="I22" s="342">
        <v>1891</v>
      </c>
      <c r="J22" s="342">
        <v>1844</v>
      </c>
      <c r="K22" s="343">
        <f t="shared" si="2"/>
        <v>17951</v>
      </c>
    </row>
    <row r="23" spans="1:13" ht="14.25">
      <c r="A23" s="333" t="s">
        <v>92</v>
      </c>
      <c r="B23" s="339" t="s">
        <v>82</v>
      </c>
      <c r="C23" s="340">
        <f t="shared" si="1"/>
        <v>435</v>
      </c>
      <c r="D23" s="340">
        <f t="shared" si="1"/>
        <v>398</v>
      </c>
      <c r="E23" s="340">
        <f t="shared" si="1"/>
        <v>593</v>
      </c>
      <c r="F23" s="340">
        <f t="shared" si="1"/>
        <v>458</v>
      </c>
      <c r="G23" s="341">
        <v>414</v>
      </c>
      <c r="H23" s="342">
        <v>389</v>
      </c>
      <c r="I23" s="342">
        <v>450</v>
      </c>
      <c r="J23" s="342">
        <v>473</v>
      </c>
      <c r="K23" s="343">
        <f t="shared" si="2"/>
        <v>3610</v>
      </c>
    </row>
    <row r="24" spans="1:13" ht="14.25">
      <c r="A24" s="333" t="s">
        <v>93</v>
      </c>
      <c r="B24" s="344" t="s">
        <v>82</v>
      </c>
      <c r="C24" s="364">
        <f t="shared" si="1"/>
        <v>1164</v>
      </c>
      <c r="D24" s="364">
        <f t="shared" si="1"/>
        <v>1707</v>
      </c>
      <c r="E24" s="364">
        <f t="shared" si="1"/>
        <v>2458</v>
      </c>
      <c r="F24" s="364">
        <f t="shared" si="1"/>
        <v>2638</v>
      </c>
      <c r="G24" s="345">
        <v>2099</v>
      </c>
      <c r="H24" s="342">
        <v>2634</v>
      </c>
      <c r="I24" s="342">
        <v>900</v>
      </c>
      <c r="J24" s="342">
        <v>900</v>
      </c>
      <c r="K24" s="348">
        <f t="shared" si="2"/>
        <v>14500</v>
      </c>
      <c r="M24" s="365"/>
    </row>
    <row r="25" spans="1:13" ht="14.25">
      <c r="A25" s="333" t="s">
        <v>94</v>
      </c>
      <c r="B25" s="366" t="s">
        <v>95</v>
      </c>
      <c r="C25" s="367">
        <f t="shared" si="1"/>
        <v>20</v>
      </c>
      <c r="D25" s="367">
        <f>+D54</f>
        <v>6</v>
      </c>
      <c r="E25" s="367">
        <f>+E54</f>
        <v>15</v>
      </c>
      <c r="F25" s="367">
        <f>+F54</f>
        <v>10</v>
      </c>
      <c r="G25" s="367">
        <v>10</v>
      </c>
      <c r="H25" s="368">
        <v>149</v>
      </c>
      <c r="I25" s="368">
        <v>137</v>
      </c>
      <c r="J25" s="368">
        <v>135</v>
      </c>
      <c r="K25" s="369">
        <f t="shared" si="2"/>
        <v>482</v>
      </c>
    </row>
    <row r="26" spans="1:13">
      <c r="A26" s="333"/>
      <c r="B26" s="350"/>
      <c r="C26" s="351"/>
      <c r="D26" s="351"/>
      <c r="E26" s="351"/>
      <c r="F26" s="352"/>
      <c r="G26" s="353"/>
      <c r="H26" s="353"/>
      <c r="I26" s="353"/>
      <c r="J26" s="353"/>
      <c r="K26" s="338"/>
    </row>
    <row r="27" spans="1:13">
      <c r="A27" s="370" t="s">
        <v>96</v>
      </c>
      <c r="B27" s="355"/>
      <c r="C27" s="356"/>
      <c r="D27" s="356"/>
      <c r="E27" s="356"/>
      <c r="F27" s="357"/>
      <c r="G27" s="358"/>
      <c r="H27" s="358"/>
      <c r="I27" s="358"/>
      <c r="J27" s="358"/>
      <c r="K27" s="348"/>
    </row>
    <row r="28" spans="1:13">
      <c r="A28" s="333" t="s">
        <v>97</v>
      </c>
      <c r="B28" s="359" t="s">
        <v>87</v>
      </c>
      <c r="C28" s="371">
        <f t="shared" ref="C28:F34" si="4">+C57</f>
        <v>447.18170999999995</v>
      </c>
      <c r="D28" s="371">
        <f t="shared" si="4"/>
        <v>489.84261999999927</v>
      </c>
      <c r="E28" s="371">
        <f t="shared" si="4"/>
        <v>442.73330000000033</v>
      </c>
      <c r="F28" s="371">
        <f t="shared" si="4"/>
        <v>454.79899999999634</v>
      </c>
      <c r="G28" s="372">
        <v>481.37899999999655</v>
      </c>
      <c r="H28" s="373">
        <v>486.6902999999993</v>
      </c>
      <c r="I28" s="373">
        <v>452.11959999999999</v>
      </c>
      <c r="J28" s="373">
        <v>452.22</v>
      </c>
      <c r="K28" s="374">
        <f t="shared" ref="K28:K34" si="5">SUM(C28:J28)</f>
        <v>3706.9655299999922</v>
      </c>
    </row>
    <row r="29" spans="1:13">
      <c r="A29" s="333" t="s">
        <v>98</v>
      </c>
      <c r="B29" s="375" t="s">
        <v>87</v>
      </c>
      <c r="C29" s="376">
        <f t="shared" si="4"/>
        <v>30.827400000000004</v>
      </c>
      <c r="D29" s="376">
        <f t="shared" si="4"/>
        <v>25.903699999999986</v>
      </c>
      <c r="E29" s="376">
        <f t="shared" si="4"/>
        <v>17.519500000000001</v>
      </c>
      <c r="F29" s="376">
        <f t="shared" si="4"/>
        <v>16.446000000000002</v>
      </c>
      <c r="G29" s="377">
        <v>32.641999999999996</v>
      </c>
      <c r="H29" s="378">
        <v>36.925733333333341</v>
      </c>
      <c r="I29" s="378">
        <v>25.092733333333332</v>
      </c>
      <c r="J29" s="378">
        <v>25.092733333333332</v>
      </c>
      <c r="K29" s="379">
        <f t="shared" si="5"/>
        <v>210.44980000000001</v>
      </c>
    </row>
    <row r="30" spans="1:13">
      <c r="A30" s="333" t="s">
        <v>99</v>
      </c>
      <c r="B30" s="375" t="s">
        <v>87</v>
      </c>
      <c r="C30" s="376">
        <f t="shared" si="4"/>
        <v>7.4249999999999989</v>
      </c>
      <c r="D30" s="376">
        <f t="shared" si="4"/>
        <v>5.7429999999999986</v>
      </c>
      <c r="E30" s="376">
        <f t="shared" si="4"/>
        <v>3.9284999999999988</v>
      </c>
      <c r="F30" s="376">
        <f t="shared" si="4"/>
        <v>4.2709999999999955</v>
      </c>
      <c r="G30" s="377">
        <v>2.3499999999999996</v>
      </c>
      <c r="H30" s="378">
        <v>6.2835000000000036</v>
      </c>
      <c r="I30" s="378">
        <v>5</v>
      </c>
      <c r="J30" s="378">
        <v>5</v>
      </c>
      <c r="K30" s="379">
        <f t="shared" si="5"/>
        <v>40.000999999999998</v>
      </c>
    </row>
    <row r="31" spans="1:13">
      <c r="A31" s="333" t="s">
        <v>100</v>
      </c>
      <c r="B31" s="375" t="s">
        <v>87</v>
      </c>
      <c r="C31" s="376">
        <f t="shared" si="4"/>
        <v>57.637399999999992</v>
      </c>
      <c r="D31" s="376">
        <f t="shared" si="4"/>
        <v>75.564840000000132</v>
      </c>
      <c r="E31" s="376">
        <f t="shared" si="4"/>
        <v>45.907500000000049</v>
      </c>
      <c r="F31" s="376">
        <f t="shared" si="4"/>
        <v>59.513000000000083</v>
      </c>
      <c r="G31" s="377">
        <v>59.636999999999944</v>
      </c>
      <c r="H31" s="378">
        <v>65</v>
      </c>
      <c r="I31" s="378">
        <v>72</v>
      </c>
      <c r="J31" s="378">
        <v>80</v>
      </c>
      <c r="K31" s="379">
        <f t="shared" si="5"/>
        <v>515.25974000000019</v>
      </c>
    </row>
    <row r="32" spans="1:13">
      <c r="A32" s="333" t="s">
        <v>101</v>
      </c>
      <c r="B32" s="375" t="s">
        <v>87</v>
      </c>
      <c r="C32" s="376">
        <f t="shared" si="4"/>
        <v>19.010449999999999</v>
      </c>
      <c r="D32" s="376">
        <f t="shared" si="4"/>
        <v>20.073899999999998</v>
      </c>
      <c r="E32" s="376">
        <f t="shared" si="4"/>
        <v>20.020399999999999</v>
      </c>
      <c r="F32" s="376">
        <f t="shared" si="4"/>
        <v>19.419999999999987</v>
      </c>
      <c r="G32" s="377">
        <v>16.01499999999999</v>
      </c>
      <c r="H32" s="378">
        <v>16.401251999999996</v>
      </c>
      <c r="I32" s="378">
        <v>16.401251999999996</v>
      </c>
      <c r="J32" s="378">
        <v>16.401251999999996</v>
      </c>
      <c r="K32" s="379">
        <f t="shared" si="5"/>
        <v>143.74350599999997</v>
      </c>
    </row>
    <row r="33" spans="1:35" ht="14.25">
      <c r="A33" s="333" t="s">
        <v>102</v>
      </c>
      <c r="B33" s="339" t="s">
        <v>82</v>
      </c>
      <c r="C33" s="340">
        <f t="shared" si="4"/>
        <v>14588</v>
      </c>
      <c r="D33" s="340">
        <f t="shared" si="4"/>
        <v>16089</v>
      </c>
      <c r="E33" s="340">
        <f t="shared" si="4"/>
        <v>14208</v>
      </c>
      <c r="F33" s="340">
        <f t="shared" si="4"/>
        <v>15278</v>
      </c>
      <c r="G33" s="341">
        <v>16750</v>
      </c>
      <c r="H33" s="342">
        <v>16372.2</v>
      </c>
      <c r="I33" s="342">
        <v>15556.059721579986</v>
      </c>
      <c r="J33" s="342">
        <v>15557.528505000018</v>
      </c>
      <c r="K33" s="343">
        <f t="shared" si="5"/>
        <v>124398.78822658001</v>
      </c>
    </row>
    <row r="34" spans="1:35" ht="14.25">
      <c r="A34" s="380" t="s">
        <v>103</v>
      </c>
      <c r="B34" s="344" t="s">
        <v>82</v>
      </c>
      <c r="C34" s="364">
        <f t="shared" si="4"/>
        <v>29579.060329786083</v>
      </c>
      <c r="D34" s="364">
        <f t="shared" si="4"/>
        <v>29908</v>
      </c>
      <c r="E34" s="364">
        <f t="shared" si="4"/>
        <v>27763</v>
      </c>
      <c r="F34" s="364">
        <f t="shared" si="4"/>
        <v>29387</v>
      </c>
      <c r="G34" s="345">
        <v>30067</v>
      </c>
      <c r="H34" s="347">
        <v>35081</v>
      </c>
      <c r="I34" s="347">
        <v>33612</v>
      </c>
      <c r="J34" s="347">
        <v>33616</v>
      </c>
      <c r="K34" s="348">
        <f t="shared" si="5"/>
        <v>249013.06032978609</v>
      </c>
    </row>
    <row r="35" spans="1:35">
      <c r="E35" s="5"/>
    </row>
    <row r="36" spans="1:35">
      <c r="A36" s="6" t="s">
        <v>104</v>
      </c>
      <c r="D36" s="6"/>
      <c r="M36" s="6" t="s">
        <v>48</v>
      </c>
      <c r="P36" s="6"/>
      <c r="Y36" s="6" t="s">
        <v>49</v>
      </c>
      <c r="AB36" s="6"/>
    </row>
    <row r="38" spans="1:35" ht="12.75" customHeight="1">
      <c r="A38" s="8"/>
      <c r="B38" s="305"/>
      <c r="C38" s="381" t="s">
        <v>2</v>
      </c>
      <c r="D38" s="381"/>
      <c r="E38" s="381"/>
      <c r="F38" s="381"/>
      <c r="G38" s="382" t="s">
        <v>105</v>
      </c>
      <c r="H38" s="310"/>
      <c r="I38" s="310"/>
      <c r="J38" s="311"/>
      <c r="K38" s="383"/>
      <c r="M38" s="8"/>
      <c r="N38" s="384"/>
      <c r="O38" s="306" t="s">
        <v>2</v>
      </c>
      <c r="P38" s="307"/>
      <c r="Q38" s="308"/>
      <c r="R38" s="309" t="s">
        <v>3</v>
      </c>
      <c r="S38" s="310" t="s">
        <v>4</v>
      </c>
      <c r="T38" s="310"/>
      <c r="U38" s="310"/>
      <c r="V38" s="311"/>
      <c r="W38" s="383"/>
      <c r="Y38" s="8"/>
      <c r="Z38" s="384"/>
      <c r="AA38" s="306" t="s">
        <v>2</v>
      </c>
      <c r="AB38" s="307"/>
      <c r="AC38" s="308"/>
      <c r="AD38" s="309" t="s">
        <v>3</v>
      </c>
      <c r="AE38" s="310" t="s">
        <v>4</v>
      </c>
      <c r="AF38" s="310"/>
      <c r="AG38" s="310"/>
      <c r="AH38" s="311"/>
      <c r="AI38" s="383"/>
    </row>
    <row r="39" spans="1:35">
      <c r="A39" s="17"/>
      <c r="B39" s="313"/>
      <c r="C39" s="381"/>
      <c r="D39" s="381"/>
      <c r="E39" s="381"/>
      <c r="F39" s="381"/>
      <c r="G39" s="385"/>
      <c r="H39" s="318"/>
      <c r="I39" s="318"/>
      <c r="J39" s="319"/>
      <c r="K39" s="386"/>
      <c r="M39" s="17"/>
      <c r="N39" s="387"/>
      <c r="O39" s="314"/>
      <c r="P39" s="315"/>
      <c r="Q39" s="316"/>
      <c r="R39" s="317"/>
      <c r="S39" s="318"/>
      <c r="T39" s="318"/>
      <c r="U39" s="318"/>
      <c r="V39" s="319"/>
      <c r="W39" s="386"/>
      <c r="Y39" s="17"/>
      <c r="Z39" s="387"/>
      <c r="AA39" s="314"/>
      <c r="AB39" s="315"/>
      <c r="AC39" s="316"/>
      <c r="AD39" s="317"/>
      <c r="AE39" s="318"/>
      <c r="AF39" s="318"/>
      <c r="AG39" s="318"/>
      <c r="AH39" s="319"/>
      <c r="AI39" s="386"/>
    </row>
    <row r="40" spans="1:35" ht="25.5">
      <c r="A40" s="26" t="s">
        <v>79</v>
      </c>
      <c r="B40" s="388" t="s">
        <v>106</v>
      </c>
      <c r="C40" s="322">
        <v>2014</v>
      </c>
      <c r="D40" s="389">
        <v>2015</v>
      </c>
      <c r="E40" s="389">
        <v>2016</v>
      </c>
      <c r="F40" s="390">
        <v>2017</v>
      </c>
      <c r="G40" s="389">
        <v>2018</v>
      </c>
      <c r="H40" s="390">
        <v>2019</v>
      </c>
      <c r="I40" s="389">
        <v>2020</v>
      </c>
      <c r="J40" s="391">
        <v>2021</v>
      </c>
      <c r="K40" s="392" t="s">
        <v>5</v>
      </c>
      <c r="M40" s="26" t="s">
        <v>79</v>
      </c>
      <c r="N40" s="388" t="s">
        <v>106</v>
      </c>
      <c r="O40" s="322">
        <v>2014</v>
      </c>
      <c r="P40" s="389">
        <v>2015</v>
      </c>
      <c r="Q40" s="389">
        <v>2016</v>
      </c>
      <c r="R40" s="390">
        <v>2017</v>
      </c>
      <c r="S40" s="389">
        <v>2018</v>
      </c>
      <c r="T40" s="390">
        <v>2019</v>
      </c>
      <c r="U40" s="389">
        <v>2020</v>
      </c>
      <c r="V40" s="391">
        <v>2021</v>
      </c>
      <c r="W40" s="392" t="s">
        <v>5</v>
      </c>
      <c r="Y40" s="26" t="s">
        <v>79</v>
      </c>
      <c r="Z40" s="388" t="s">
        <v>106</v>
      </c>
      <c r="AA40" s="322">
        <v>2014</v>
      </c>
      <c r="AB40" s="389">
        <v>2015</v>
      </c>
      <c r="AC40" s="389">
        <v>2016</v>
      </c>
      <c r="AD40" s="390">
        <v>2017</v>
      </c>
      <c r="AE40" s="389">
        <v>2018</v>
      </c>
      <c r="AF40" s="390">
        <v>2019</v>
      </c>
      <c r="AG40" s="389">
        <v>2020</v>
      </c>
      <c r="AH40" s="391">
        <v>2021</v>
      </c>
      <c r="AI40" s="392" t="s">
        <v>5</v>
      </c>
    </row>
    <row r="41" spans="1:35">
      <c r="A41" s="325" t="s">
        <v>80</v>
      </c>
      <c r="B41" s="326"/>
      <c r="C41" s="393"/>
      <c r="D41" s="394"/>
      <c r="E41" s="394"/>
      <c r="F41" s="394"/>
      <c r="G41" s="394"/>
      <c r="H41" s="394"/>
      <c r="I41" s="394"/>
      <c r="J41" s="394"/>
      <c r="K41" s="332"/>
      <c r="M41" s="325" t="s">
        <v>80</v>
      </c>
      <c r="N41" s="326"/>
      <c r="O41" s="395"/>
      <c r="P41" s="396"/>
      <c r="Q41" s="395"/>
      <c r="R41" s="396"/>
      <c r="S41" s="396"/>
      <c r="T41" s="396"/>
      <c r="U41" s="396"/>
      <c r="V41" s="396"/>
      <c r="W41" s="397"/>
      <c r="Y41" s="325" t="s">
        <v>80</v>
      </c>
      <c r="Z41" s="326"/>
      <c r="AA41" s="394"/>
      <c r="AB41" s="394"/>
      <c r="AC41" s="394"/>
      <c r="AD41" s="394"/>
      <c r="AE41" s="394"/>
      <c r="AF41" s="394"/>
      <c r="AG41" s="394"/>
      <c r="AH41" s="394"/>
      <c r="AI41" s="332"/>
    </row>
    <row r="42" spans="1:35" ht="14.25">
      <c r="A42" s="333" t="s">
        <v>81</v>
      </c>
      <c r="B42" s="398" t="s">
        <v>82</v>
      </c>
      <c r="C42" s="399">
        <v>9579</v>
      </c>
      <c r="D42" s="399">
        <v>8466</v>
      </c>
      <c r="E42" s="399">
        <v>7047</v>
      </c>
      <c r="F42" s="399">
        <v>6631</v>
      </c>
      <c r="G42" s="399">
        <v>8415.4296966846941</v>
      </c>
      <c r="H42" s="399">
        <v>8162.9668057841527</v>
      </c>
      <c r="I42" s="399">
        <v>7918.0778016106278</v>
      </c>
      <c r="J42" s="399">
        <v>7680.5354675623084</v>
      </c>
      <c r="K42" s="369">
        <f>SUM(C42:J42)</f>
        <v>63900.009771641788</v>
      </c>
      <c r="M42" s="333" t="s">
        <v>81</v>
      </c>
      <c r="N42" s="398" t="s">
        <v>82</v>
      </c>
      <c r="O42" s="400">
        <f>C13-C42</f>
        <v>0</v>
      </c>
      <c r="P42" s="401">
        <f>D13-D42</f>
        <v>0</v>
      </c>
      <c r="Q42" s="400">
        <f>E13-E42</f>
        <v>0</v>
      </c>
      <c r="R42" s="401">
        <f>F13-F42</f>
        <v>0</v>
      </c>
      <c r="S42" s="401">
        <f>G13-G42</f>
        <v>-2056.4296966846941</v>
      </c>
      <c r="T42" s="401">
        <f t="shared" ref="T42:W42" si="6">H13-H42</f>
        <v>0</v>
      </c>
      <c r="U42" s="401">
        <f t="shared" si="6"/>
        <v>0</v>
      </c>
      <c r="V42" s="401">
        <f t="shared" si="6"/>
        <v>0</v>
      </c>
      <c r="W42" s="400">
        <f t="shared" si="6"/>
        <v>-2056.429696684696</v>
      </c>
      <c r="Y42" s="333" t="s">
        <v>81</v>
      </c>
      <c r="Z42" s="398" t="s">
        <v>82</v>
      </c>
      <c r="AA42" s="402">
        <f>(C13-C42)/C42</f>
        <v>0</v>
      </c>
      <c r="AB42" s="402">
        <f>(D13-D42)/D42</f>
        <v>0</v>
      </c>
      <c r="AC42" s="402">
        <f>(E13-E42)/E42</f>
        <v>0</v>
      </c>
      <c r="AD42" s="402">
        <f>(F13-F42)/F42</f>
        <v>0</v>
      </c>
      <c r="AE42" s="402">
        <f>(G13-G42)/G42</f>
        <v>-0.24436419420090172</v>
      </c>
      <c r="AF42" s="402">
        <f t="shared" ref="AF42:AI42" si="7">(H13-H42)/H42</f>
        <v>0</v>
      </c>
      <c r="AG42" s="402">
        <f t="shared" si="7"/>
        <v>0</v>
      </c>
      <c r="AH42" s="402">
        <f t="shared" si="7"/>
        <v>0</v>
      </c>
      <c r="AI42" s="403">
        <f t="shared" si="7"/>
        <v>-3.2181993461874552E-2</v>
      </c>
    </row>
    <row r="43" spans="1:35" ht="14.25">
      <c r="A43" s="333" t="s">
        <v>83</v>
      </c>
      <c r="B43" s="398" t="s">
        <v>82</v>
      </c>
      <c r="C43" s="399">
        <v>12130</v>
      </c>
      <c r="D43" s="399">
        <v>8846</v>
      </c>
      <c r="E43" s="399">
        <v>8675</v>
      </c>
      <c r="F43" s="399">
        <v>7894</v>
      </c>
      <c r="G43" s="399">
        <v>10018.308252997884</v>
      </c>
      <c r="H43" s="399">
        <v>9717.7590054079465</v>
      </c>
      <c r="I43" s="399">
        <v>9426.2262352457074</v>
      </c>
      <c r="J43" s="399">
        <v>9143.4394481883355</v>
      </c>
      <c r="K43" s="369">
        <f>SUM(C43:J43)</f>
        <v>75850.732941839873</v>
      </c>
      <c r="M43" s="333" t="s">
        <v>83</v>
      </c>
      <c r="N43" s="398" t="s">
        <v>82</v>
      </c>
      <c r="O43" s="400">
        <f>C14-C43</f>
        <v>0</v>
      </c>
      <c r="P43" s="401">
        <f>D14-D43</f>
        <v>0</v>
      </c>
      <c r="Q43" s="400">
        <f t="shared" ref="Q43:W44" si="8">E14-E43</f>
        <v>0</v>
      </c>
      <c r="R43" s="401">
        <f>F14-F43</f>
        <v>0</v>
      </c>
      <c r="S43" s="401">
        <f>G14-G43</f>
        <v>-1971.3082529978838</v>
      </c>
      <c r="T43" s="401">
        <f t="shared" si="8"/>
        <v>0</v>
      </c>
      <c r="U43" s="401">
        <f t="shared" si="8"/>
        <v>0</v>
      </c>
      <c r="V43" s="401">
        <f t="shared" si="8"/>
        <v>0</v>
      </c>
      <c r="W43" s="400">
        <f t="shared" si="8"/>
        <v>-1971.3082529978856</v>
      </c>
      <c r="Y43" s="333" t="s">
        <v>83</v>
      </c>
      <c r="Z43" s="398" t="s">
        <v>82</v>
      </c>
      <c r="AA43" s="402">
        <f>(C14-C43)/C43</f>
        <v>0</v>
      </c>
      <c r="AB43" s="402">
        <f>(D14-D43)/D43</f>
        <v>0</v>
      </c>
      <c r="AC43" s="402">
        <f t="shared" ref="AC43:AI44" si="9">(E14-E43)/E43</f>
        <v>0</v>
      </c>
      <c r="AD43" s="402">
        <f>(F14-F43)/F43</f>
        <v>0</v>
      </c>
      <c r="AE43" s="402">
        <f>(G14-G43)/G43</f>
        <v>-0.19677057275693113</v>
      </c>
      <c r="AF43" s="402">
        <f t="shared" si="9"/>
        <v>0</v>
      </c>
      <c r="AG43" s="402">
        <f t="shared" si="9"/>
        <v>0</v>
      </c>
      <c r="AH43" s="402">
        <f t="shared" si="9"/>
        <v>0</v>
      </c>
      <c r="AI43" s="403">
        <f t="shared" si="9"/>
        <v>-2.5989310538494428E-2</v>
      </c>
    </row>
    <row r="44" spans="1:35" ht="14.25">
      <c r="A44" s="333" t="s">
        <v>84</v>
      </c>
      <c r="B44" s="398" t="s">
        <v>82</v>
      </c>
      <c r="C44" s="399">
        <v>1</v>
      </c>
      <c r="D44" s="399">
        <v>2</v>
      </c>
      <c r="E44" s="399">
        <v>3</v>
      </c>
      <c r="F44" s="399">
        <v>7</v>
      </c>
      <c r="G44" s="399">
        <v>4</v>
      </c>
      <c r="H44" s="399">
        <v>2</v>
      </c>
      <c r="I44" s="399">
        <v>2</v>
      </c>
      <c r="J44" s="399">
        <v>2</v>
      </c>
      <c r="K44" s="369">
        <f>SUM(C44:J44)</f>
        <v>23</v>
      </c>
      <c r="M44" s="333" t="s">
        <v>84</v>
      </c>
      <c r="N44" s="398" t="s">
        <v>82</v>
      </c>
      <c r="O44" s="400">
        <f>C15-C44</f>
        <v>0</v>
      </c>
      <c r="P44" s="401">
        <f>D15-D44</f>
        <v>0</v>
      </c>
      <c r="Q44" s="400">
        <f t="shared" si="8"/>
        <v>0</v>
      </c>
      <c r="R44" s="401">
        <f t="shared" si="8"/>
        <v>0</v>
      </c>
      <c r="S44" s="401">
        <f t="shared" si="8"/>
        <v>-1</v>
      </c>
      <c r="T44" s="401">
        <f t="shared" si="8"/>
        <v>1</v>
      </c>
      <c r="U44" s="401">
        <f t="shared" si="8"/>
        <v>1</v>
      </c>
      <c r="V44" s="401">
        <f t="shared" si="8"/>
        <v>-1</v>
      </c>
      <c r="W44" s="400">
        <f t="shared" si="8"/>
        <v>0</v>
      </c>
      <c r="Y44" s="333" t="s">
        <v>84</v>
      </c>
      <c r="Z44" s="398" t="s">
        <v>82</v>
      </c>
      <c r="AA44" s="402">
        <f>(C15-C44)/C44</f>
        <v>0</v>
      </c>
      <c r="AB44" s="402">
        <f>(D15-D44)/D44</f>
        <v>0</v>
      </c>
      <c r="AC44" s="402">
        <f t="shared" si="9"/>
        <v>0</v>
      </c>
      <c r="AD44" s="402">
        <f t="shared" si="9"/>
        <v>0</v>
      </c>
      <c r="AE44" s="402">
        <f t="shared" si="9"/>
        <v>-0.25</v>
      </c>
      <c r="AF44" s="402">
        <f t="shared" si="9"/>
        <v>0.5</v>
      </c>
      <c r="AG44" s="402">
        <f t="shared" si="9"/>
        <v>0.5</v>
      </c>
      <c r="AH44" s="402">
        <f t="shared" si="9"/>
        <v>-0.5</v>
      </c>
      <c r="AI44" s="403">
        <f t="shared" si="9"/>
        <v>0</v>
      </c>
    </row>
    <row r="45" spans="1:35">
      <c r="A45" s="349"/>
      <c r="B45" s="350"/>
      <c r="C45" s="350"/>
      <c r="D45" s="350"/>
      <c r="E45" s="350"/>
      <c r="F45" s="350"/>
      <c r="G45" s="350"/>
      <c r="H45" s="350"/>
      <c r="I45" s="350"/>
      <c r="J45" s="350"/>
      <c r="K45" s="404"/>
      <c r="M45" s="349"/>
      <c r="N45" s="350"/>
      <c r="O45" s="405"/>
      <c r="P45" s="406"/>
      <c r="Q45" s="405"/>
      <c r="R45" s="406"/>
      <c r="S45" s="406"/>
      <c r="T45" s="406"/>
      <c r="U45" s="406"/>
      <c r="V45" s="406"/>
      <c r="W45" s="405"/>
      <c r="Y45" s="349"/>
      <c r="Z45" s="350"/>
      <c r="AA45" s="407"/>
      <c r="AB45" s="407"/>
      <c r="AC45" s="407"/>
      <c r="AD45" s="407"/>
      <c r="AE45" s="407"/>
      <c r="AF45" s="407"/>
      <c r="AG45" s="407"/>
      <c r="AH45" s="407"/>
      <c r="AI45" s="408"/>
    </row>
    <row r="46" spans="1:35">
      <c r="A46" s="354" t="s">
        <v>85</v>
      </c>
      <c r="B46" s="355"/>
      <c r="C46" s="355"/>
      <c r="D46" s="355"/>
      <c r="E46" s="355"/>
      <c r="F46" s="355"/>
      <c r="G46" s="355"/>
      <c r="H46" s="355"/>
      <c r="I46" s="355"/>
      <c r="J46" s="355"/>
      <c r="K46" s="409"/>
      <c r="M46" s="354" t="s">
        <v>85</v>
      </c>
      <c r="N46" s="355"/>
      <c r="O46" s="410"/>
      <c r="P46" s="411"/>
      <c r="Q46" s="410"/>
      <c r="R46" s="411"/>
      <c r="S46" s="411"/>
      <c r="T46" s="411"/>
      <c r="U46" s="411"/>
      <c r="V46" s="411"/>
      <c r="W46" s="410"/>
      <c r="Y46" s="354" t="s">
        <v>85</v>
      </c>
      <c r="Z46" s="355"/>
      <c r="AA46" s="412"/>
      <c r="AB46" s="412"/>
      <c r="AC46" s="412"/>
      <c r="AD46" s="412"/>
      <c r="AE46" s="412"/>
      <c r="AF46" s="412"/>
      <c r="AG46" s="412"/>
      <c r="AH46" s="412"/>
      <c r="AI46" s="413"/>
    </row>
    <row r="47" spans="1:35">
      <c r="A47" s="333" t="s">
        <v>86</v>
      </c>
      <c r="B47" s="414" t="s">
        <v>87</v>
      </c>
      <c r="C47" s="415">
        <v>8.5635000000000012</v>
      </c>
      <c r="D47" s="415">
        <v>5.7684999999999995</v>
      </c>
      <c r="E47" s="415">
        <v>9.8895</v>
      </c>
      <c r="F47" s="415">
        <v>6.0709999999999997</v>
      </c>
      <c r="G47" s="415">
        <v>7.3655291750730978</v>
      </c>
      <c r="H47" s="415">
        <v>16.714085435742799</v>
      </c>
      <c r="I47" s="415">
        <v>14.731058350146196</v>
      </c>
      <c r="J47" s="415">
        <v>15.580927101116169</v>
      </c>
      <c r="K47" s="416">
        <f t="shared" ref="K47:K54" si="10">SUM(C47:J47)</f>
        <v>84.684100062078272</v>
      </c>
      <c r="M47" s="333" t="s">
        <v>86</v>
      </c>
      <c r="N47" s="414" t="s">
        <v>87</v>
      </c>
      <c r="O47" s="417">
        <f t="shared" ref="O47:W54" si="11">C18-C47</f>
        <v>0</v>
      </c>
      <c r="P47" s="418">
        <f t="shared" si="11"/>
        <v>0</v>
      </c>
      <c r="Q47" s="417">
        <f t="shared" si="11"/>
        <v>0</v>
      </c>
      <c r="R47" s="418">
        <f t="shared" si="11"/>
        <v>0</v>
      </c>
      <c r="S47" s="418">
        <f t="shared" si="11"/>
        <v>-0.44751917507309713</v>
      </c>
      <c r="T47" s="418">
        <f t="shared" si="11"/>
        <v>-3.6778902825252953</v>
      </c>
      <c r="U47" s="418">
        <f t="shared" si="11"/>
        <v>-2.9157647075408679</v>
      </c>
      <c r="V47" s="418">
        <f t="shared" si="11"/>
        <v>-3.3564606346144892</v>
      </c>
      <c r="W47" s="419">
        <f t="shared" si="11"/>
        <v>-10.39763479975376</v>
      </c>
      <c r="Y47" s="333" t="s">
        <v>86</v>
      </c>
      <c r="Z47" s="414" t="s">
        <v>87</v>
      </c>
      <c r="AA47" s="420">
        <f t="shared" ref="AA47:AI54" si="12">(C18-C47)/C47</f>
        <v>0</v>
      </c>
      <c r="AB47" s="420">
        <f t="shared" si="12"/>
        <v>0</v>
      </c>
      <c r="AC47" s="420">
        <f t="shared" si="12"/>
        <v>0</v>
      </c>
      <c r="AD47" s="420">
        <f t="shared" si="12"/>
        <v>0</v>
      </c>
      <c r="AE47" s="420">
        <f t="shared" si="12"/>
        <v>-6.0758591057872742E-2</v>
      </c>
      <c r="AF47" s="420">
        <f t="shared" si="12"/>
        <v>-0.22004735447027135</v>
      </c>
      <c r="AG47" s="420">
        <f t="shared" si="12"/>
        <v>-0.1979331449401211</v>
      </c>
      <c r="AH47" s="420">
        <f t="shared" si="12"/>
        <v>-0.21542111151871335</v>
      </c>
      <c r="AI47" s="421">
        <f t="shared" si="12"/>
        <v>-0.12278142877035596</v>
      </c>
    </row>
    <row r="48" spans="1:35" ht="14.25">
      <c r="A48" s="333" t="s">
        <v>88</v>
      </c>
      <c r="B48" s="398" t="s">
        <v>82</v>
      </c>
      <c r="C48" s="367">
        <v>4</v>
      </c>
      <c r="D48" s="367">
        <v>3</v>
      </c>
      <c r="E48" s="367">
        <v>4</v>
      </c>
      <c r="F48" s="367">
        <v>6</v>
      </c>
      <c r="G48" s="367">
        <v>7</v>
      </c>
      <c r="H48" s="367">
        <v>16</v>
      </c>
      <c r="I48" s="367">
        <v>14</v>
      </c>
      <c r="J48" s="367">
        <v>15</v>
      </c>
      <c r="K48" s="416">
        <f t="shared" si="10"/>
        <v>69</v>
      </c>
      <c r="M48" s="333" t="s">
        <v>88</v>
      </c>
      <c r="N48" s="398" t="s">
        <v>82</v>
      </c>
      <c r="O48" s="400">
        <f t="shared" si="11"/>
        <v>0</v>
      </c>
      <c r="P48" s="401">
        <f t="shared" si="11"/>
        <v>0</v>
      </c>
      <c r="Q48" s="400">
        <f t="shared" si="11"/>
        <v>0</v>
      </c>
      <c r="R48" s="401">
        <f t="shared" si="11"/>
        <v>0</v>
      </c>
      <c r="S48" s="401">
        <f t="shared" si="11"/>
        <v>-6</v>
      </c>
      <c r="T48" s="401">
        <f t="shared" si="11"/>
        <v>-8</v>
      </c>
      <c r="U48" s="401">
        <f t="shared" si="11"/>
        <v>-6</v>
      </c>
      <c r="V48" s="401">
        <f t="shared" si="11"/>
        <v>-7</v>
      </c>
      <c r="W48" s="419">
        <f t="shared" si="11"/>
        <v>-27</v>
      </c>
      <c r="Y48" s="333" t="s">
        <v>88</v>
      </c>
      <c r="Z48" s="398" t="s">
        <v>82</v>
      </c>
      <c r="AA48" s="402">
        <f t="shared" si="12"/>
        <v>0</v>
      </c>
      <c r="AB48" s="402">
        <f t="shared" si="12"/>
        <v>0</v>
      </c>
      <c r="AC48" s="402">
        <f t="shared" si="12"/>
        <v>0</v>
      </c>
      <c r="AD48" s="402">
        <f t="shared" si="12"/>
        <v>0</v>
      </c>
      <c r="AE48" s="402">
        <f t="shared" si="12"/>
        <v>-0.8571428571428571</v>
      </c>
      <c r="AF48" s="402">
        <f t="shared" si="12"/>
        <v>-0.5</v>
      </c>
      <c r="AG48" s="402">
        <f t="shared" si="12"/>
        <v>-0.42857142857142855</v>
      </c>
      <c r="AH48" s="402">
        <f t="shared" si="12"/>
        <v>-0.46666666666666667</v>
      </c>
      <c r="AI48" s="421">
        <f t="shared" si="12"/>
        <v>-0.39130434782608697</v>
      </c>
    </row>
    <row r="49" spans="1:35" ht="15" thickBot="1">
      <c r="A49" s="333" t="s">
        <v>89</v>
      </c>
      <c r="B49" s="366" t="s">
        <v>82</v>
      </c>
      <c r="C49" s="422">
        <v>6310</v>
      </c>
      <c r="D49" s="422">
        <v>6866</v>
      </c>
      <c r="E49" s="422">
        <v>7479</v>
      </c>
      <c r="F49" s="422">
        <v>7912</v>
      </c>
      <c r="G49" s="422">
        <v>6779</v>
      </c>
      <c r="H49" s="422">
        <v>6705</v>
      </c>
      <c r="I49" s="422">
        <v>6746</v>
      </c>
      <c r="J49" s="422">
        <v>6801</v>
      </c>
      <c r="K49" s="423">
        <f t="shared" si="10"/>
        <v>55598</v>
      </c>
      <c r="M49" s="333" t="s">
        <v>89</v>
      </c>
      <c r="N49" s="366" t="s">
        <v>82</v>
      </c>
      <c r="O49" s="424">
        <f t="shared" si="11"/>
        <v>0</v>
      </c>
      <c r="P49" s="425">
        <f t="shared" si="11"/>
        <v>0</v>
      </c>
      <c r="Q49" s="424">
        <f t="shared" si="11"/>
        <v>0</v>
      </c>
      <c r="R49" s="425">
        <f t="shared" si="11"/>
        <v>0</v>
      </c>
      <c r="S49" s="425">
        <f t="shared" si="11"/>
        <v>422</v>
      </c>
      <c r="T49" s="425">
        <f t="shared" si="11"/>
        <v>439</v>
      </c>
      <c r="U49" s="425">
        <f t="shared" si="11"/>
        <v>-1183</v>
      </c>
      <c r="V49" s="425">
        <f t="shared" si="11"/>
        <v>-1205</v>
      </c>
      <c r="W49" s="424">
        <f t="shared" si="11"/>
        <v>-1527</v>
      </c>
      <c r="Y49" s="333" t="s">
        <v>89</v>
      </c>
      <c r="Z49" s="366" t="s">
        <v>82</v>
      </c>
      <c r="AA49" s="426">
        <f t="shared" si="12"/>
        <v>0</v>
      </c>
      <c r="AB49" s="426">
        <f t="shared" si="12"/>
        <v>0</v>
      </c>
      <c r="AC49" s="426">
        <f t="shared" si="12"/>
        <v>0</v>
      </c>
      <c r="AD49" s="426">
        <f t="shared" si="12"/>
        <v>0</v>
      </c>
      <c r="AE49" s="426">
        <f t="shared" si="12"/>
        <v>6.2251069479274231E-2</v>
      </c>
      <c r="AF49" s="426">
        <f t="shared" si="12"/>
        <v>6.5473527218493657E-2</v>
      </c>
      <c r="AG49" s="426">
        <f t="shared" si="12"/>
        <v>-0.17536317817966202</v>
      </c>
      <c r="AH49" s="426">
        <f t="shared" si="12"/>
        <v>-0.1771798264961035</v>
      </c>
      <c r="AI49" s="427">
        <f t="shared" si="12"/>
        <v>-2.7465016727220404E-2</v>
      </c>
    </row>
    <row r="50" spans="1:35" ht="15" thickTop="1">
      <c r="A50" s="333" t="s">
        <v>90</v>
      </c>
      <c r="B50" s="428" t="s">
        <v>82</v>
      </c>
      <c r="C50" s="364">
        <v>1660</v>
      </c>
      <c r="D50" s="364">
        <v>2257</v>
      </c>
      <c r="E50" s="364">
        <v>2062</v>
      </c>
      <c r="F50" s="364">
        <v>2471</v>
      </c>
      <c r="G50" s="364">
        <v>2250</v>
      </c>
      <c r="H50" s="364">
        <v>2300</v>
      </c>
      <c r="I50" s="364">
        <v>2350</v>
      </c>
      <c r="J50" s="364">
        <v>2400</v>
      </c>
      <c r="K50" s="348">
        <f t="shared" si="10"/>
        <v>17750</v>
      </c>
      <c r="M50" s="333" t="s">
        <v>90</v>
      </c>
      <c r="N50" s="428" t="s">
        <v>82</v>
      </c>
      <c r="O50" s="429">
        <f t="shared" si="11"/>
        <v>0</v>
      </c>
      <c r="P50" s="430">
        <f t="shared" si="11"/>
        <v>0</v>
      </c>
      <c r="Q50" s="429">
        <f t="shared" si="11"/>
        <v>0</v>
      </c>
      <c r="R50" s="430">
        <f t="shared" si="11"/>
        <v>0</v>
      </c>
      <c r="S50" s="430">
        <f t="shared" si="11"/>
        <v>363</v>
      </c>
      <c r="T50" s="430">
        <f t="shared" si="11"/>
        <v>-54</v>
      </c>
      <c r="U50" s="430">
        <f t="shared" si="11"/>
        <v>-28</v>
      </c>
      <c r="V50" s="430">
        <f t="shared" si="11"/>
        <v>-21</v>
      </c>
      <c r="W50" s="429">
        <f t="shared" si="11"/>
        <v>260</v>
      </c>
      <c r="Y50" s="333" t="s">
        <v>90</v>
      </c>
      <c r="Z50" s="428" t="s">
        <v>82</v>
      </c>
      <c r="AA50" s="431">
        <f t="shared" si="12"/>
        <v>0</v>
      </c>
      <c r="AB50" s="431">
        <f t="shared" si="12"/>
        <v>0</v>
      </c>
      <c r="AC50" s="431">
        <f t="shared" si="12"/>
        <v>0</v>
      </c>
      <c r="AD50" s="431">
        <f t="shared" si="12"/>
        <v>0</v>
      </c>
      <c r="AE50" s="431">
        <f t="shared" si="12"/>
        <v>0.16133333333333333</v>
      </c>
      <c r="AF50" s="431">
        <f t="shared" si="12"/>
        <v>-2.3478260869565216E-2</v>
      </c>
      <c r="AG50" s="431">
        <f t="shared" si="12"/>
        <v>-1.1914893617021277E-2</v>
      </c>
      <c r="AH50" s="431">
        <f t="shared" si="12"/>
        <v>-8.7500000000000008E-3</v>
      </c>
      <c r="AI50" s="432">
        <f t="shared" si="12"/>
        <v>1.4647887323943662E-2</v>
      </c>
    </row>
    <row r="51" spans="1:35" ht="14.25">
      <c r="A51" s="333" t="s">
        <v>91</v>
      </c>
      <c r="B51" s="398" t="s">
        <v>82</v>
      </c>
      <c r="C51" s="399">
        <v>3051</v>
      </c>
      <c r="D51" s="399">
        <v>2504</v>
      </c>
      <c r="E51" s="399">
        <v>2366</v>
      </c>
      <c r="F51" s="399">
        <v>2345</v>
      </c>
      <c r="G51" s="399">
        <v>2340</v>
      </c>
      <c r="H51" s="399">
        <v>2330</v>
      </c>
      <c r="I51" s="399">
        <v>2320</v>
      </c>
      <c r="J51" s="399">
        <v>2310</v>
      </c>
      <c r="K51" s="369">
        <f t="shared" si="10"/>
        <v>19566</v>
      </c>
      <c r="M51" s="333" t="s">
        <v>91</v>
      </c>
      <c r="N51" s="398" t="s">
        <v>82</v>
      </c>
      <c r="O51" s="400">
        <f t="shared" si="11"/>
        <v>0</v>
      </c>
      <c r="P51" s="401">
        <f t="shared" si="11"/>
        <v>0</v>
      </c>
      <c r="Q51" s="400">
        <f t="shared" si="11"/>
        <v>0</v>
      </c>
      <c r="R51" s="401">
        <f t="shared" si="11"/>
        <v>0</v>
      </c>
      <c r="S51" s="401">
        <f t="shared" si="11"/>
        <v>-265</v>
      </c>
      <c r="T51" s="401">
        <f t="shared" si="11"/>
        <v>-455</v>
      </c>
      <c r="U51" s="401">
        <f t="shared" si="11"/>
        <v>-429</v>
      </c>
      <c r="V51" s="401">
        <f t="shared" si="11"/>
        <v>-466</v>
      </c>
      <c r="W51" s="400">
        <f t="shared" si="11"/>
        <v>-1615</v>
      </c>
      <c r="Y51" s="333" t="s">
        <v>91</v>
      </c>
      <c r="Z51" s="398" t="s">
        <v>82</v>
      </c>
      <c r="AA51" s="402">
        <f t="shared" si="12"/>
        <v>0</v>
      </c>
      <c r="AB51" s="402">
        <f t="shared" si="12"/>
        <v>0</v>
      </c>
      <c r="AC51" s="402">
        <f t="shared" si="12"/>
        <v>0</v>
      </c>
      <c r="AD51" s="402">
        <f t="shared" si="12"/>
        <v>0</v>
      </c>
      <c r="AE51" s="402">
        <f t="shared" si="12"/>
        <v>-0.11324786324786325</v>
      </c>
      <c r="AF51" s="402">
        <f t="shared" si="12"/>
        <v>-0.19527896995708155</v>
      </c>
      <c r="AG51" s="402">
        <f t="shared" si="12"/>
        <v>-0.18491379310344827</v>
      </c>
      <c r="AH51" s="402">
        <f t="shared" si="12"/>
        <v>-0.20173160173160173</v>
      </c>
      <c r="AI51" s="403">
        <f t="shared" si="12"/>
        <v>-8.2541142798732495E-2</v>
      </c>
    </row>
    <row r="52" spans="1:35" ht="14.25">
      <c r="A52" s="333" t="s">
        <v>92</v>
      </c>
      <c r="B52" s="398" t="s">
        <v>82</v>
      </c>
      <c r="C52" s="399">
        <v>435</v>
      </c>
      <c r="D52" s="399">
        <v>398</v>
      </c>
      <c r="E52" s="399">
        <v>593</v>
      </c>
      <c r="F52" s="399">
        <v>458</v>
      </c>
      <c r="G52" s="399">
        <v>450</v>
      </c>
      <c r="H52" s="399">
        <v>450</v>
      </c>
      <c r="I52" s="399">
        <v>450</v>
      </c>
      <c r="J52" s="399">
        <v>450</v>
      </c>
      <c r="K52" s="369">
        <f t="shared" si="10"/>
        <v>3684</v>
      </c>
      <c r="M52" s="333" t="s">
        <v>92</v>
      </c>
      <c r="N52" s="398" t="s">
        <v>82</v>
      </c>
      <c r="O52" s="400">
        <f t="shared" si="11"/>
        <v>0</v>
      </c>
      <c r="P52" s="401">
        <f t="shared" si="11"/>
        <v>0</v>
      </c>
      <c r="Q52" s="400">
        <f t="shared" si="11"/>
        <v>0</v>
      </c>
      <c r="R52" s="401">
        <f t="shared" si="11"/>
        <v>0</v>
      </c>
      <c r="S52" s="401">
        <f t="shared" si="11"/>
        <v>-36</v>
      </c>
      <c r="T52" s="401">
        <f t="shared" si="11"/>
        <v>-61</v>
      </c>
      <c r="U52" s="401">
        <f t="shared" si="11"/>
        <v>0</v>
      </c>
      <c r="V52" s="401">
        <f t="shared" si="11"/>
        <v>23</v>
      </c>
      <c r="W52" s="400">
        <f t="shared" si="11"/>
        <v>-74</v>
      </c>
      <c r="Y52" s="333" t="s">
        <v>92</v>
      </c>
      <c r="Z52" s="398" t="s">
        <v>82</v>
      </c>
      <c r="AA52" s="402">
        <f t="shared" si="12"/>
        <v>0</v>
      </c>
      <c r="AB52" s="402">
        <f t="shared" si="12"/>
        <v>0</v>
      </c>
      <c r="AC52" s="402">
        <f t="shared" si="12"/>
        <v>0</v>
      </c>
      <c r="AD52" s="402">
        <f t="shared" si="12"/>
        <v>0</v>
      </c>
      <c r="AE52" s="402">
        <f t="shared" si="12"/>
        <v>-0.08</v>
      </c>
      <c r="AF52" s="402">
        <f t="shared" si="12"/>
        <v>-0.13555555555555557</v>
      </c>
      <c r="AG52" s="402">
        <f t="shared" si="12"/>
        <v>0</v>
      </c>
      <c r="AH52" s="402">
        <f t="shared" si="12"/>
        <v>5.1111111111111114E-2</v>
      </c>
      <c r="AI52" s="403">
        <f t="shared" si="12"/>
        <v>-2.0086862106406079E-2</v>
      </c>
    </row>
    <row r="53" spans="1:35" ht="14.25">
      <c r="A53" s="333" t="s">
        <v>93</v>
      </c>
      <c r="B53" s="398" t="s">
        <v>82</v>
      </c>
      <c r="C53" s="399">
        <v>1164</v>
      </c>
      <c r="D53" s="399">
        <v>1707</v>
      </c>
      <c r="E53" s="399">
        <v>2458</v>
      </c>
      <c r="F53" s="399">
        <v>2638</v>
      </c>
      <c r="G53" s="399">
        <v>1739</v>
      </c>
      <c r="H53" s="399">
        <v>1625</v>
      </c>
      <c r="I53" s="399">
        <v>1626</v>
      </c>
      <c r="J53" s="399">
        <v>1641</v>
      </c>
      <c r="K53" s="369">
        <f t="shared" si="10"/>
        <v>14598</v>
      </c>
      <c r="M53" s="333" t="s">
        <v>93</v>
      </c>
      <c r="N53" s="398" t="s">
        <v>82</v>
      </c>
      <c r="O53" s="400">
        <f t="shared" si="11"/>
        <v>0</v>
      </c>
      <c r="P53" s="401">
        <f t="shared" si="11"/>
        <v>0</v>
      </c>
      <c r="Q53" s="400">
        <f t="shared" si="11"/>
        <v>0</v>
      </c>
      <c r="R53" s="401">
        <f t="shared" si="11"/>
        <v>0</v>
      </c>
      <c r="S53" s="401">
        <f t="shared" si="11"/>
        <v>360</v>
      </c>
      <c r="T53" s="401">
        <f t="shared" si="11"/>
        <v>1009</v>
      </c>
      <c r="U53" s="401">
        <f t="shared" si="11"/>
        <v>-726</v>
      </c>
      <c r="V53" s="401">
        <f t="shared" si="11"/>
        <v>-741</v>
      </c>
      <c r="W53" s="400">
        <f t="shared" si="11"/>
        <v>-98</v>
      </c>
      <c r="Y53" s="333" t="s">
        <v>93</v>
      </c>
      <c r="Z53" s="398" t="s">
        <v>82</v>
      </c>
      <c r="AA53" s="402">
        <f t="shared" si="12"/>
        <v>0</v>
      </c>
      <c r="AB53" s="402">
        <f t="shared" si="12"/>
        <v>0</v>
      </c>
      <c r="AC53" s="402">
        <f t="shared" si="12"/>
        <v>0</v>
      </c>
      <c r="AD53" s="402">
        <f t="shared" si="12"/>
        <v>0</v>
      </c>
      <c r="AE53" s="402">
        <f t="shared" si="12"/>
        <v>0.20701552616446234</v>
      </c>
      <c r="AF53" s="402">
        <f t="shared" si="12"/>
        <v>0.62092307692307691</v>
      </c>
      <c r="AG53" s="402">
        <f t="shared" si="12"/>
        <v>-0.44649446494464945</v>
      </c>
      <c r="AH53" s="402">
        <f t="shared" si="12"/>
        <v>-0.45155393053016452</v>
      </c>
      <c r="AI53" s="403">
        <f t="shared" si="12"/>
        <v>-6.713248390190437E-3</v>
      </c>
    </row>
    <row r="54" spans="1:35" ht="14.25">
      <c r="A54" s="333" t="s">
        <v>94</v>
      </c>
      <c r="B54" s="398" t="s">
        <v>95</v>
      </c>
      <c r="C54" s="367">
        <v>20</v>
      </c>
      <c r="D54" s="367">
        <v>6</v>
      </c>
      <c r="E54" s="367">
        <v>15</v>
      </c>
      <c r="F54" s="367">
        <v>10</v>
      </c>
      <c r="G54" s="367">
        <v>13</v>
      </c>
      <c r="H54" s="367">
        <v>13</v>
      </c>
      <c r="I54" s="367">
        <v>13</v>
      </c>
      <c r="J54" s="367">
        <v>13</v>
      </c>
      <c r="K54" s="369">
        <f t="shared" si="10"/>
        <v>103</v>
      </c>
      <c r="M54" s="333" t="s">
        <v>94</v>
      </c>
      <c r="N54" s="398" t="s">
        <v>95</v>
      </c>
      <c r="O54" s="400">
        <f t="shared" si="11"/>
        <v>0</v>
      </c>
      <c r="P54" s="401">
        <f t="shared" si="11"/>
        <v>0</v>
      </c>
      <c r="Q54" s="400">
        <f t="shared" si="11"/>
        <v>0</v>
      </c>
      <c r="R54" s="401">
        <f t="shared" si="11"/>
        <v>0</v>
      </c>
      <c r="S54" s="401">
        <f t="shared" si="11"/>
        <v>-3</v>
      </c>
      <c r="T54" s="401">
        <f t="shared" si="11"/>
        <v>136</v>
      </c>
      <c r="U54" s="401">
        <f t="shared" si="11"/>
        <v>124</v>
      </c>
      <c r="V54" s="401">
        <f t="shared" si="11"/>
        <v>122</v>
      </c>
      <c r="W54" s="400">
        <f t="shared" si="11"/>
        <v>379</v>
      </c>
      <c r="Y54" s="333" t="s">
        <v>94</v>
      </c>
      <c r="Z54" s="398" t="s">
        <v>95</v>
      </c>
      <c r="AA54" s="402">
        <f t="shared" si="12"/>
        <v>0</v>
      </c>
      <c r="AB54" s="402">
        <f t="shared" si="12"/>
        <v>0</v>
      </c>
      <c r="AC54" s="402">
        <f t="shared" si="12"/>
        <v>0</v>
      </c>
      <c r="AD54" s="402">
        <f t="shared" si="12"/>
        <v>0</v>
      </c>
      <c r="AE54" s="402">
        <f t="shared" si="12"/>
        <v>-0.23076923076923078</v>
      </c>
      <c r="AF54" s="402">
        <f t="shared" si="12"/>
        <v>10.461538461538462</v>
      </c>
      <c r="AG54" s="402">
        <f t="shared" si="12"/>
        <v>9.5384615384615383</v>
      </c>
      <c r="AH54" s="402">
        <f t="shared" si="12"/>
        <v>9.384615384615385</v>
      </c>
      <c r="AI54" s="403">
        <f t="shared" si="12"/>
        <v>3.679611650485437</v>
      </c>
    </row>
    <row r="55" spans="1:35">
      <c r="A55" s="333"/>
      <c r="B55" s="350"/>
      <c r="C55" s="350"/>
      <c r="D55" s="350"/>
      <c r="E55" s="350"/>
      <c r="F55" s="350"/>
      <c r="G55" s="350"/>
      <c r="H55" s="350"/>
      <c r="I55" s="350"/>
      <c r="J55" s="350"/>
      <c r="K55" s="404"/>
      <c r="M55" s="333"/>
      <c r="N55" s="350"/>
      <c r="O55" s="405"/>
      <c r="P55" s="406"/>
      <c r="Q55" s="405"/>
      <c r="R55" s="406"/>
      <c r="S55" s="406"/>
      <c r="T55" s="406"/>
      <c r="U55" s="406"/>
      <c r="V55" s="406"/>
      <c r="W55" s="405"/>
      <c r="Y55" s="333"/>
      <c r="Z55" s="350"/>
      <c r="AA55" s="407"/>
      <c r="AB55" s="407"/>
      <c r="AC55" s="407"/>
      <c r="AD55" s="407"/>
      <c r="AE55" s="407"/>
      <c r="AF55" s="407"/>
      <c r="AG55" s="407"/>
      <c r="AH55" s="407"/>
      <c r="AI55" s="408"/>
    </row>
    <row r="56" spans="1:35">
      <c r="A56" s="370" t="s">
        <v>96</v>
      </c>
      <c r="B56" s="355"/>
      <c r="C56" s="355"/>
      <c r="D56" s="355"/>
      <c r="E56" s="355"/>
      <c r="F56" s="355"/>
      <c r="G56" s="355"/>
      <c r="H56" s="355"/>
      <c r="I56" s="355"/>
      <c r="J56" s="355"/>
      <c r="K56" s="409"/>
      <c r="M56" s="370" t="s">
        <v>96</v>
      </c>
      <c r="N56" s="355"/>
      <c r="O56" s="410"/>
      <c r="P56" s="411"/>
      <c r="Q56" s="410"/>
      <c r="R56" s="411"/>
      <c r="S56" s="411"/>
      <c r="T56" s="411"/>
      <c r="U56" s="411"/>
      <c r="V56" s="411"/>
      <c r="W56" s="410"/>
      <c r="Y56" s="370" t="s">
        <v>96</v>
      </c>
      <c r="Z56" s="355"/>
      <c r="AA56" s="412"/>
      <c r="AB56" s="412"/>
      <c r="AC56" s="412"/>
      <c r="AD56" s="412"/>
      <c r="AE56" s="412"/>
      <c r="AF56" s="412"/>
      <c r="AG56" s="412"/>
      <c r="AH56" s="412"/>
      <c r="AI56" s="413"/>
    </row>
    <row r="57" spans="1:35">
      <c r="A57" s="333" t="s">
        <v>97</v>
      </c>
      <c r="B57" s="414" t="s">
        <v>87</v>
      </c>
      <c r="C57" s="415">
        <v>447.18170999999995</v>
      </c>
      <c r="D57" s="415">
        <v>489.84261999999927</v>
      </c>
      <c r="E57" s="415">
        <v>442.73330000000033</v>
      </c>
      <c r="F57" s="415">
        <v>454.79899999999634</v>
      </c>
      <c r="G57" s="415">
        <v>491.44124999999997</v>
      </c>
      <c r="H57" s="415">
        <v>464.04125000000005</v>
      </c>
      <c r="I57" s="415">
        <v>458.44125000000008</v>
      </c>
      <c r="J57" s="415">
        <v>458.44125000000008</v>
      </c>
      <c r="K57" s="369">
        <f t="shared" ref="K57:K63" si="13">SUM(C57:J57)</f>
        <v>3706.9216299999962</v>
      </c>
      <c r="M57" s="333" t="s">
        <v>97</v>
      </c>
      <c r="N57" s="414" t="s">
        <v>87</v>
      </c>
      <c r="O57" s="417">
        <f t="shared" ref="O57:W63" si="14">C28-C57</f>
        <v>0</v>
      </c>
      <c r="P57" s="418">
        <f t="shared" si="14"/>
        <v>0</v>
      </c>
      <c r="Q57" s="417">
        <f t="shared" si="14"/>
        <v>0</v>
      </c>
      <c r="R57" s="418">
        <f t="shared" ref="R57:R63" si="15">G28-F57</f>
        <v>26.580000000000211</v>
      </c>
      <c r="S57" s="418" t="e">
        <f>#REF!-G57</f>
        <v>#REF!</v>
      </c>
      <c r="T57" s="418">
        <f t="shared" si="14"/>
        <v>22.649049999999249</v>
      </c>
      <c r="U57" s="418">
        <f t="shared" si="14"/>
        <v>-6.3216500000000906</v>
      </c>
      <c r="V57" s="418">
        <f t="shared" si="14"/>
        <v>-6.2212500000000546</v>
      </c>
      <c r="W57" s="419">
        <f t="shared" si="14"/>
        <v>4.3899999996028782E-2</v>
      </c>
      <c r="Y57" s="333" t="s">
        <v>97</v>
      </c>
      <c r="Z57" s="414" t="s">
        <v>87</v>
      </c>
      <c r="AA57" s="420">
        <f t="shared" ref="AA57:AI63" si="16">(C28-C57)/C57</f>
        <v>0</v>
      </c>
      <c r="AB57" s="420">
        <f t="shared" si="16"/>
        <v>0</v>
      </c>
      <c r="AC57" s="420">
        <f t="shared" si="16"/>
        <v>0</v>
      </c>
      <c r="AD57" s="420">
        <f t="shared" ref="AD57:AD63" si="17">(G28-F57)/F57</f>
        <v>5.844340027132959E-2</v>
      </c>
      <c r="AE57" s="420" t="e">
        <f>(#REF!-G57)/G57</f>
        <v>#REF!</v>
      </c>
      <c r="AF57" s="420">
        <f t="shared" si="16"/>
        <v>4.8808268661458973E-2</v>
      </c>
      <c r="AG57" s="420">
        <f t="shared" si="16"/>
        <v>-1.3789444121793337E-2</v>
      </c>
      <c r="AH57" s="420">
        <f t="shared" si="16"/>
        <v>-1.3570441141585871E-2</v>
      </c>
      <c r="AI57" s="421">
        <f t="shared" si="16"/>
        <v>1.1842710577085717E-5</v>
      </c>
    </row>
    <row r="58" spans="1:35">
      <c r="A58" s="333" t="s">
        <v>98</v>
      </c>
      <c r="B58" s="414" t="s">
        <v>87</v>
      </c>
      <c r="C58" s="415">
        <v>30.827400000000004</v>
      </c>
      <c r="D58" s="415">
        <v>25.903699999999986</v>
      </c>
      <c r="E58" s="415">
        <v>17.519500000000001</v>
      </c>
      <c r="F58" s="415">
        <v>16.446000000000002</v>
      </c>
      <c r="G58" s="415">
        <v>36.518225290697679</v>
      </c>
      <c r="H58" s="415">
        <v>34.218225290697674</v>
      </c>
      <c r="I58" s="415">
        <v>26.668225290697681</v>
      </c>
      <c r="J58" s="415">
        <v>26.668225290697681</v>
      </c>
      <c r="K58" s="369">
        <f t="shared" si="13"/>
        <v>214.76950116279068</v>
      </c>
      <c r="M58" s="333" t="s">
        <v>98</v>
      </c>
      <c r="N58" s="414" t="s">
        <v>87</v>
      </c>
      <c r="O58" s="417">
        <f t="shared" si="14"/>
        <v>0</v>
      </c>
      <c r="P58" s="418">
        <f t="shared" si="14"/>
        <v>0</v>
      </c>
      <c r="Q58" s="417">
        <f t="shared" si="14"/>
        <v>0</v>
      </c>
      <c r="R58" s="418">
        <f t="shared" si="15"/>
        <v>16.195999999999994</v>
      </c>
      <c r="S58" s="418" t="e">
        <f>#REF!-G58</f>
        <v>#REF!</v>
      </c>
      <c r="T58" s="418">
        <f t="shared" si="14"/>
        <v>2.7075080426356664</v>
      </c>
      <c r="U58" s="418">
        <f t="shared" si="14"/>
        <v>-1.5754919573643491</v>
      </c>
      <c r="V58" s="418">
        <f t="shared" si="14"/>
        <v>-1.5754919573643491</v>
      </c>
      <c r="W58" s="419">
        <f t="shared" si="14"/>
        <v>-4.3197011627906647</v>
      </c>
      <c r="Y58" s="333" t="s">
        <v>98</v>
      </c>
      <c r="Z58" s="414" t="s">
        <v>87</v>
      </c>
      <c r="AA58" s="420">
        <f t="shared" si="16"/>
        <v>0</v>
      </c>
      <c r="AB58" s="420">
        <f t="shared" si="16"/>
        <v>0</v>
      </c>
      <c r="AC58" s="420">
        <f t="shared" si="16"/>
        <v>0</v>
      </c>
      <c r="AD58" s="420">
        <f t="shared" si="17"/>
        <v>0.98479873525477279</v>
      </c>
      <c r="AE58" s="420" t="e">
        <f>(#REF!-G58)/G58</f>
        <v>#REF!</v>
      </c>
      <c r="AF58" s="420">
        <f t="shared" si="16"/>
        <v>7.9124736003527055E-2</v>
      </c>
      <c r="AG58" s="420">
        <f t="shared" si="16"/>
        <v>-5.9077495416011309E-2</v>
      </c>
      <c r="AH58" s="420">
        <f t="shared" si="16"/>
        <v>-5.9077495416011309E-2</v>
      </c>
      <c r="AI58" s="421">
        <f t="shared" si="16"/>
        <v>-2.0113196424088278E-2</v>
      </c>
    </row>
    <row r="59" spans="1:35">
      <c r="A59" s="333" t="s">
        <v>99</v>
      </c>
      <c r="B59" s="414" t="s">
        <v>87</v>
      </c>
      <c r="C59" s="415">
        <v>7.4249999999999989</v>
      </c>
      <c r="D59" s="415">
        <v>5.7429999999999986</v>
      </c>
      <c r="E59" s="415">
        <v>3.9284999999999988</v>
      </c>
      <c r="F59" s="415">
        <v>4.2709999999999955</v>
      </c>
      <c r="G59" s="415">
        <v>5.0000000000000009</v>
      </c>
      <c r="H59" s="415">
        <v>4.8400000000000007</v>
      </c>
      <c r="I59" s="415">
        <v>4.5000000000000009</v>
      </c>
      <c r="J59" s="415">
        <v>4.3000000000000007</v>
      </c>
      <c r="K59" s="369">
        <f t="shared" si="13"/>
        <v>40.007499999999993</v>
      </c>
      <c r="M59" s="333" t="s">
        <v>99</v>
      </c>
      <c r="N59" s="414" t="s">
        <v>87</v>
      </c>
      <c r="O59" s="417">
        <f t="shared" si="14"/>
        <v>0</v>
      </c>
      <c r="P59" s="418">
        <f t="shared" si="14"/>
        <v>0</v>
      </c>
      <c r="Q59" s="417">
        <f t="shared" si="14"/>
        <v>0</v>
      </c>
      <c r="R59" s="418">
        <f t="shared" si="15"/>
        <v>-1.9209999999999958</v>
      </c>
      <c r="S59" s="418" t="e">
        <f>#REF!-G59</f>
        <v>#REF!</v>
      </c>
      <c r="T59" s="418">
        <f t="shared" si="14"/>
        <v>1.4435000000000029</v>
      </c>
      <c r="U59" s="418">
        <f t="shared" si="14"/>
        <v>0.49999999999999911</v>
      </c>
      <c r="V59" s="418">
        <f t="shared" si="14"/>
        <v>0.69999999999999929</v>
      </c>
      <c r="W59" s="419">
        <f t="shared" si="14"/>
        <v>-6.4999999999955094E-3</v>
      </c>
      <c r="Y59" s="333" t="s">
        <v>99</v>
      </c>
      <c r="Z59" s="414" t="s">
        <v>87</v>
      </c>
      <c r="AA59" s="420">
        <f t="shared" si="16"/>
        <v>0</v>
      </c>
      <c r="AB59" s="420">
        <f t="shared" si="16"/>
        <v>0</v>
      </c>
      <c r="AC59" s="420">
        <f t="shared" si="16"/>
        <v>0</v>
      </c>
      <c r="AD59" s="420">
        <f t="shared" si="17"/>
        <v>-0.44977756965581783</v>
      </c>
      <c r="AE59" s="420" t="e">
        <f>(#REF!-G59)/G59</f>
        <v>#REF!</v>
      </c>
      <c r="AF59" s="420">
        <f t="shared" si="16"/>
        <v>0.2982438016528931</v>
      </c>
      <c r="AG59" s="420">
        <f t="shared" si="16"/>
        <v>0.1111111111111109</v>
      </c>
      <c r="AH59" s="420">
        <f t="shared" si="16"/>
        <v>0.16279069767441842</v>
      </c>
      <c r="AI59" s="421">
        <f t="shared" si="16"/>
        <v>-1.6246953696170743E-4</v>
      </c>
    </row>
    <row r="60" spans="1:35">
      <c r="A60" s="333" t="s">
        <v>100</v>
      </c>
      <c r="B60" s="414" t="s">
        <v>87</v>
      </c>
      <c r="C60" s="415">
        <v>57.637399999999992</v>
      </c>
      <c r="D60" s="415">
        <v>75.564840000000132</v>
      </c>
      <c r="E60" s="415">
        <v>45.907500000000049</v>
      </c>
      <c r="F60" s="415">
        <v>59.513000000000083</v>
      </c>
      <c r="G60" s="415">
        <v>53.073625</v>
      </c>
      <c r="H60" s="415">
        <v>60.073625</v>
      </c>
      <c r="I60" s="415">
        <v>58.403624999999998</v>
      </c>
      <c r="J60" s="415">
        <v>58.173625000000001</v>
      </c>
      <c r="K60" s="369">
        <f t="shared" si="13"/>
        <v>468.34724000000028</v>
      </c>
      <c r="M60" s="333" t="s">
        <v>100</v>
      </c>
      <c r="N60" s="414" t="s">
        <v>87</v>
      </c>
      <c r="O60" s="417">
        <f t="shared" si="14"/>
        <v>0</v>
      </c>
      <c r="P60" s="418">
        <f t="shared" si="14"/>
        <v>0</v>
      </c>
      <c r="Q60" s="417">
        <f t="shared" si="14"/>
        <v>0</v>
      </c>
      <c r="R60" s="418">
        <f t="shared" si="15"/>
        <v>0.12399999999986022</v>
      </c>
      <c r="S60" s="418" t="e">
        <f>#REF!-G60</f>
        <v>#REF!</v>
      </c>
      <c r="T60" s="418">
        <f t="shared" si="14"/>
        <v>4.9263750000000002</v>
      </c>
      <c r="U60" s="418">
        <f t="shared" si="14"/>
        <v>13.596375000000002</v>
      </c>
      <c r="V60" s="418">
        <f t="shared" si="14"/>
        <v>21.826374999999999</v>
      </c>
      <c r="W60" s="419">
        <f t="shared" si="14"/>
        <v>46.912499999999909</v>
      </c>
      <c r="Y60" s="333" t="s">
        <v>100</v>
      </c>
      <c r="Z60" s="414" t="s">
        <v>87</v>
      </c>
      <c r="AA60" s="420">
        <f t="shared" si="16"/>
        <v>0</v>
      </c>
      <c r="AB60" s="420">
        <f t="shared" si="16"/>
        <v>0</v>
      </c>
      <c r="AC60" s="420">
        <f t="shared" si="16"/>
        <v>0</v>
      </c>
      <c r="AD60" s="420">
        <f t="shared" si="17"/>
        <v>2.0835783778310629E-3</v>
      </c>
      <c r="AE60" s="420" t="e">
        <f>(#REF!-G60)/G60</f>
        <v>#REF!</v>
      </c>
      <c r="AF60" s="420">
        <f t="shared" si="16"/>
        <v>8.2005622267675715E-2</v>
      </c>
      <c r="AG60" s="420">
        <f t="shared" si="16"/>
        <v>0.232800190056696</v>
      </c>
      <c r="AH60" s="420">
        <f t="shared" si="16"/>
        <v>0.37519365520027331</v>
      </c>
      <c r="AI60" s="421">
        <f t="shared" si="16"/>
        <v>0.10016606481976895</v>
      </c>
    </row>
    <row r="61" spans="1:35">
      <c r="A61" s="333" t="s">
        <v>101</v>
      </c>
      <c r="B61" s="414" t="s">
        <v>87</v>
      </c>
      <c r="C61" s="415">
        <v>19.010449999999999</v>
      </c>
      <c r="D61" s="415">
        <v>20.073899999999998</v>
      </c>
      <c r="E61" s="415">
        <v>20.020399999999999</v>
      </c>
      <c r="F61" s="415">
        <v>19.419999999999987</v>
      </c>
      <c r="G61" s="415">
        <v>16.124749999999999</v>
      </c>
      <c r="H61" s="415">
        <v>16.124749999999999</v>
      </c>
      <c r="I61" s="415">
        <v>16.124749999999999</v>
      </c>
      <c r="J61" s="415">
        <v>16.124749999999999</v>
      </c>
      <c r="K61" s="369">
        <f t="shared" si="13"/>
        <v>143.02375000000001</v>
      </c>
      <c r="M61" s="333" t="s">
        <v>101</v>
      </c>
      <c r="N61" s="414" t="s">
        <v>87</v>
      </c>
      <c r="O61" s="417">
        <f t="shared" si="14"/>
        <v>0</v>
      </c>
      <c r="P61" s="418">
        <f t="shared" si="14"/>
        <v>0</v>
      </c>
      <c r="Q61" s="417">
        <f t="shared" si="14"/>
        <v>0</v>
      </c>
      <c r="R61" s="418">
        <f t="shared" si="15"/>
        <v>-3.4049999999999976</v>
      </c>
      <c r="S61" s="418" t="e">
        <f>#REF!-G61</f>
        <v>#REF!</v>
      </c>
      <c r="T61" s="418">
        <f t="shared" si="14"/>
        <v>0.27650199999999714</v>
      </c>
      <c r="U61" s="418">
        <f t="shared" si="14"/>
        <v>0.27650199999999714</v>
      </c>
      <c r="V61" s="418">
        <f t="shared" si="14"/>
        <v>0.27650199999999714</v>
      </c>
      <c r="W61" s="419">
        <f t="shared" si="14"/>
        <v>0.7197559999999612</v>
      </c>
      <c r="Y61" s="333" t="s">
        <v>101</v>
      </c>
      <c r="Z61" s="414" t="s">
        <v>87</v>
      </c>
      <c r="AA61" s="420">
        <f t="shared" si="16"/>
        <v>0</v>
      </c>
      <c r="AB61" s="420">
        <f t="shared" si="16"/>
        <v>0</v>
      </c>
      <c r="AC61" s="420">
        <f t="shared" si="16"/>
        <v>0</v>
      </c>
      <c r="AD61" s="420">
        <f t="shared" si="17"/>
        <v>-0.17533470648815652</v>
      </c>
      <c r="AE61" s="420" t="e">
        <f>(#REF!-G61)/G61</f>
        <v>#REF!</v>
      </c>
      <c r="AF61" s="420">
        <f t="shared" si="16"/>
        <v>1.7147676708165843E-2</v>
      </c>
      <c r="AG61" s="420">
        <f t="shared" si="16"/>
        <v>1.7147676708165843E-2</v>
      </c>
      <c r="AH61" s="420">
        <f t="shared" si="16"/>
        <v>1.7147676708165843E-2</v>
      </c>
      <c r="AI61" s="421">
        <f t="shared" si="16"/>
        <v>5.0324229367497437E-3</v>
      </c>
    </row>
    <row r="62" spans="1:35" ht="14.25">
      <c r="A62" s="333" t="s">
        <v>102</v>
      </c>
      <c r="B62" s="428" t="s">
        <v>82</v>
      </c>
      <c r="C62" s="399">
        <v>14588</v>
      </c>
      <c r="D62" s="399">
        <v>16089</v>
      </c>
      <c r="E62" s="399">
        <v>14208</v>
      </c>
      <c r="F62" s="399">
        <v>15278</v>
      </c>
      <c r="G62" s="399">
        <v>17991.085327717268</v>
      </c>
      <c r="H62" s="399">
        <v>16983.102858519927</v>
      </c>
      <c r="I62" s="399">
        <v>16522.658086924086</v>
      </c>
      <c r="J62" s="399">
        <v>16512.531002504824</v>
      </c>
      <c r="K62" s="369">
        <f t="shared" si="13"/>
        <v>128172.37727566611</v>
      </c>
      <c r="M62" s="333" t="s">
        <v>102</v>
      </c>
      <c r="N62" s="428" t="s">
        <v>82</v>
      </c>
      <c r="O62" s="400">
        <f t="shared" si="14"/>
        <v>0</v>
      </c>
      <c r="P62" s="401">
        <f t="shared" si="14"/>
        <v>0</v>
      </c>
      <c r="Q62" s="400">
        <f t="shared" si="14"/>
        <v>0</v>
      </c>
      <c r="R62" s="401">
        <f t="shared" si="15"/>
        <v>1472</v>
      </c>
      <c r="S62" s="401" t="e">
        <f>#REF!-G62</f>
        <v>#REF!</v>
      </c>
      <c r="T62" s="401">
        <f t="shared" si="14"/>
        <v>-610.90285851992667</v>
      </c>
      <c r="U62" s="401">
        <f t="shared" si="14"/>
        <v>-966.59836534409988</v>
      </c>
      <c r="V62" s="401">
        <f t="shared" si="14"/>
        <v>-955.00249750480543</v>
      </c>
      <c r="W62" s="419">
        <f t="shared" si="14"/>
        <v>-3773.5890490860911</v>
      </c>
      <c r="Y62" s="333" t="s">
        <v>102</v>
      </c>
      <c r="Z62" s="428" t="s">
        <v>82</v>
      </c>
      <c r="AA62" s="402">
        <f t="shared" si="16"/>
        <v>0</v>
      </c>
      <c r="AB62" s="402">
        <f t="shared" si="16"/>
        <v>0</v>
      </c>
      <c r="AC62" s="402">
        <f t="shared" si="16"/>
        <v>0</v>
      </c>
      <c r="AD62" s="402">
        <f t="shared" si="17"/>
        <v>9.6347689488152893E-2</v>
      </c>
      <c r="AE62" s="402" t="e">
        <f>(#REF!-G62)/G62</f>
        <v>#REF!</v>
      </c>
      <c r="AF62" s="402">
        <f t="shared" si="16"/>
        <v>-3.5971215837832277E-2</v>
      </c>
      <c r="AG62" s="402">
        <f t="shared" si="16"/>
        <v>-5.8501383993962749E-2</v>
      </c>
      <c r="AH62" s="402">
        <f t="shared" si="16"/>
        <v>-5.7835016168020448E-2</v>
      </c>
      <c r="AI62" s="421">
        <f t="shared" si="16"/>
        <v>-2.9441515631484803E-2</v>
      </c>
    </row>
    <row r="63" spans="1:35" ht="14.25">
      <c r="A63" s="380" t="s">
        <v>103</v>
      </c>
      <c r="B63" s="428" t="s">
        <v>82</v>
      </c>
      <c r="C63" s="399">
        <v>29579.060329786083</v>
      </c>
      <c r="D63" s="399">
        <v>29908</v>
      </c>
      <c r="E63" s="399">
        <v>27763</v>
      </c>
      <c r="F63" s="399">
        <v>29387</v>
      </c>
      <c r="G63" s="399">
        <v>34605.578251448314</v>
      </c>
      <c r="H63" s="399">
        <v>32666.739344372632</v>
      </c>
      <c r="I63" s="399">
        <v>31781.080848307251</v>
      </c>
      <c r="J63" s="399">
        <v>31761.601555871795</v>
      </c>
      <c r="K63" s="369">
        <f t="shared" si="13"/>
        <v>247452.06032978609</v>
      </c>
      <c r="M63" s="380" t="s">
        <v>103</v>
      </c>
      <c r="N63" s="428" t="s">
        <v>82</v>
      </c>
      <c r="O63" s="400">
        <f t="shared" si="14"/>
        <v>0</v>
      </c>
      <c r="P63" s="401">
        <f t="shared" si="14"/>
        <v>0</v>
      </c>
      <c r="Q63" s="400">
        <f t="shared" si="14"/>
        <v>0</v>
      </c>
      <c r="R63" s="401">
        <f t="shared" si="15"/>
        <v>680</v>
      </c>
      <c r="S63" s="401" t="e">
        <f>#REF!-G63</f>
        <v>#REF!</v>
      </c>
      <c r="T63" s="401">
        <f t="shared" si="14"/>
        <v>2414.2606556273677</v>
      </c>
      <c r="U63" s="401">
        <f t="shared" si="14"/>
        <v>1830.9191516927494</v>
      </c>
      <c r="V63" s="401">
        <f t="shared" si="14"/>
        <v>1854.3984441282046</v>
      </c>
      <c r="W63" s="419">
        <f t="shared" si="14"/>
        <v>1561</v>
      </c>
      <c r="Y63" s="380" t="s">
        <v>103</v>
      </c>
      <c r="Z63" s="428" t="s">
        <v>82</v>
      </c>
      <c r="AA63" s="402">
        <f t="shared" si="16"/>
        <v>0</v>
      </c>
      <c r="AB63" s="402">
        <f t="shared" si="16"/>
        <v>0</v>
      </c>
      <c r="AC63" s="402">
        <f t="shared" si="16"/>
        <v>0</v>
      </c>
      <c r="AD63" s="402">
        <f t="shared" si="17"/>
        <v>2.3139483445060741E-2</v>
      </c>
      <c r="AE63" s="402" t="e">
        <f>(#REF!-G63)/G63</f>
        <v>#REF!</v>
      </c>
      <c r="AF63" s="402">
        <f t="shared" si="16"/>
        <v>7.3905774009956793E-2</v>
      </c>
      <c r="AG63" s="402">
        <f t="shared" si="16"/>
        <v>5.7610348761636572E-2</v>
      </c>
      <c r="AH63" s="402">
        <f t="shared" si="16"/>
        <v>5.8384916165708282E-2</v>
      </c>
      <c r="AI63" s="421">
        <f t="shared" si="16"/>
        <v>6.3082925958248756E-3</v>
      </c>
    </row>
    <row r="64" spans="1:35">
      <c r="C64" s="433"/>
      <c r="D64" s="433"/>
      <c r="E64" s="433"/>
      <c r="F64" s="433"/>
      <c r="G64" s="433"/>
      <c r="H64" s="433"/>
      <c r="I64" s="433"/>
      <c r="J64" s="433"/>
      <c r="K64" s="433"/>
    </row>
    <row r="65" spans="1:35">
      <c r="A65" s="6" t="s">
        <v>107</v>
      </c>
      <c r="D65" s="6"/>
      <c r="M65" s="6" t="s">
        <v>108</v>
      </c>
      <c r="P65" s="6"/>
      <c r="Y65" s="6" t="s">
        <v>109</v>
      </c>
      <c r="AB65" s="6"/>
    </row>
    <row r="67" spans="1:35" ht="12.75" customHeight="1">
      <c r="A67" s="8"/>
      <c r="B67" s="305"/>
      <c r="C67" s="434"/>
      <c r="D67" s="435"/>
      <c r="E67" s="436"/>
      <c r="F67" s="435"/>
      <c r="G67" s="435"/>
      <c r="H67" s="435"/>
      <c r="I67" s="435"/>
      <c r="J67" s="435"/>
      <c r="K67" s="437"/>
      <c r="M67" s="8"/>
      <c r="N67" s="305"/>
      <c r="O67" s="306" t="s">
        <v>2</v>
      </c>
      <c r="P67" s="307"/>
      <c r="Q67" s="308"/>
      <c r="R67" s="309" t="s">
        <v>3</v>
      </c>
      <c r="S67" s="310" t="s">
        <v>4</v>
      </c>
      <c r="T67" s="310"/>
      <c r="U67" s="310"/>
      <c r="V67" s="311"/>
      <c r="W67" s="383"/>
      <c r="Y67" s="8"/>
      <c r="Z67" s="305"/>
      <c r="AA67" s="306" t="s">
        <v>2</v>
      </c>
      <c r="AB67" s="307"/>
      <c r="AC67" s="308"/>
      <c r="AD67" s="309" t="s">
        <v>3</v>
      </c>
      <c r="AE67" s="310" t="s">
        <v>4</v>
      </c>
      <c r="AF67" s="310"/>
      <c r="AG67" s="310"/>
      <c r="AH67" s="311"/>
      <c r="AI67" s="383"/>
    </row>
    <row r="68" spans="1:35">
      <c r="A68" s="17"/>
      <c r="B68" s="313"/>
      <c r="C68" s="385" t="s">
        <v>110</v>
      </c>
      <c r="D68" s="318"/>
      <c r="E68" s="318"/>
      <c r="F68" s="318"/>
      <c r="G68" s="318"/>
      <c r="H68" s="318"/>
      <c r="I68" s="318"/>
      <c r="J68" s="318"/>
      <c r="K68" s="319"/>
      <c r="M68" s="17"/>
      <c r="N68" s="313"/>
      <c r="O68" s="314"/>
      <c r="P68" s="315"/>
      <c r="Q68" s="316"/>
      <c r="R68" s="317"/>
      <c r="S68" s="318"/>
      <c r="T68" s="318"/>
      <c r="U68" s="318"/>
      <c r="V68" s="319"/>
      <c r="W68" s="386"/>
      <c r="Y68" s="17"/>
      <c r="Z68" s="313"/>
      <c r="AA68" s="314"/>
      <c r="AB68" s="315"/>
      <c r="AC68" s="316"/>
      <c r="AD68" s="317"/>
      <c r="AE68" s="318"/>
      <c r="AF68" s="318"/>
      <c r="AG68" s="318"/>
      <c r="AH68" s="319"/>
      <c r="AI68" s="386"/>
    </row>
    <row r="69" spans="1:35">
      <c r="A69" s="26" t="s">
        <v>79</v>
      </c>
      <c r="B69" s="388" t="s">
        <v>106</v>
      </c>
      <c r="C69" s="322">
        <v>2014</v>
      </c>
      <c r="D69" s="389">
        <v>2015</v>
      </c>
      <c r="E69" s="389">
        <v>2016</v>
      </c>
      <c r="F69" s="390">
        <v>2017</v>
      </c>
      <c r="G69" s="389">
        <v>2018</v>
      </c>
      <c r="H69" s="390">
        <v>2019</v>
      </c>
      <c r="I69" s="389">
        <v>2020</v>
      </c>
      <c r="J69" s="391">
        <v>2021</v>
      </c>
      <c r="K69" s="392" t="s">
        <v>65</v>
      </c>
      <c r="M69" s="26" t="s">
        <v>79</v>
      </c>
      <c r="N69" s="388" t="s">
        <v>106</v>
      </c>
      <c r="O69" s="322">
        <v>2014</v>
      </c>
      <c r="P69" s="389">
        <v>2015</v>
      </c>
      <c r="Q69" s="389">
        <v>2016</v>
      </c>
      <c r="R69" s="390">
        <v>2017</v>
      </c>
      <c r="S69" s="389">
        <v>2018</v>
      </c>
      <c r="T69" s="390">
        <v>2019</v>
      </c>
      <c r="U69" s="389">
        <v>2020</v>
      </c>
      <c r="V69" s="391">
        <v>2021</v>
      </c>
      <c r="W69" s="392" t="s">
        <v>65</v>
      </c>
      <c r="Y69" s="26" t="s">
        <v>79</v>
      </c>
      <c r="Z69" s="388" t="s">
        <v>106</v>
      </c>
      <c r="AA69" s="322">
        <v>2014</v>
      </c>
      <c r="AB69" s="389">
        <v>2015</v>
      </c>
      <c r="AC69" s="389">
        <v>2016</v>
      </c>
      <c r="AD69" s="390">
        <v>2017</v>
      </c>
      <c r="AE69" s="389">
        <v>2018</v>
      </c>
      <c r="AF69" s="390">
        <v>2019</v>
      </c>
      <c r="AG69" s="389">
        <v>2020</v>
      </c>
      <c r="AH69" s="391">
        <v>2021</v>
      </c>
      <c r="AI69" s="392" t="s">
        <v>65</v>
      </c>
    </row>
    <row r="70" spans="1:35">
      <c r="A70" s="325" t="s">
        <v>80</v>
      </c>
      <c r="B70" s="326"/>
      <c r="C70" s="393"/>
      <c r="D70" s="394"/>
      <c r="E70" s="394"/>
      <c r="F70" s="394"/>
      <c r="G70" s="394"/>
      <c r="H70" s="394"/>
      <c r="I70" s="394"/>
      <c r="J70" s="394"/>
      <c r="K70" s="332"/>
      <c r="M70" s="325" t="s">
        <v>80</v>
      </c>
      <c r="N70" s="326"/>
      <c r="O70" s="393"/>
      <c r="P70" s="394"/>
      <c r="Q70" s="438"/>
      <c r="R70" s="394"/>
      <c r="S70" s="394"/>
      <c r="T70" s="394"/>
      <c r="U70" s="394"/>
      <c r="V70" s="394"/>
      <c r="W70" s="332"/>
      <c r="Y70" s="325" t="s">
        <v>80</v>
      </c>
      <c r="Z70" s="326"/>
      <c r="AA70" s="393"/>
      <c r="AB70" s="394"/>
      <c r="AC70" s="394"/>
      <c r="AD70" s="394"/>
      <c r="AE70" s="394"/>
      <c r="AF70" s="394"/>
      <c r="AG70" s="394"/>
      <c r="AH70" s="394"/>
      <c r="AI70" s="332"/>
    </row>
    <row r="71" spans="1:35" ht="14.25">
      <c r="A71" s="333" t="s">
        <v>81</v>
      </c>
      <c r="B71" s="398" t="s">
        <v>82</v>
      </c>
      <c r="C71" s="399">
        <v>8193.1936094867378</v>
      </c>
      <c r="D71" s="399">
        <v>7959.4713041565947</v>
      </c>
      <c r="E71" s="399">
        <v>7736.6398428291313</v>
      </c>
      <c r="F71" s="399">
        <v>7524.500139825429</v>
      </c>
      <c r="G71" s="399">
        <v>7322.8593531269507</v>
      </c>
      <c r="H71" s="399">
        <v>7131.5333492061609</v>
      </c>
      <c r="I71" s="399">
        <v>6950.3528515992293</v>
      </c>
      <c r="J71" s="399">
        <v>6779.1801585877565</v>
      </c>
      <c r="K71" s="369">
        <f>SUM(C71:J71)</f>
        <v>59597.73060881799</v>
      </c>
      <c r="M71" s="333" t="s">
        <v>81</v>
      </c>
      <c r="N71" s="398" t="s">
        <v>82</v>
      </c>
      <c r="O71" s="439">
        <f>C13-C71</f>
        <v>1385.8063905132622</v>
      </c>
      <c r="P71" s="440">
        <f t="shared" ref="P71:W71" si="18">D13-D71</f>
        <v>506.52869584340533</v>
      </c>
      <c r="Q71" s="440">
        <f t="shared" si="18"/>
        <v>-689.63984282913134</v>
      </c>
      <c r="R71" s="440">
        <f>F13-F71</f>
        <v>-893.50013982542896</v>
      </c>
      <c r="S71" s="440">
        <f>G13-G71</f>
        <v>-963.85935312695074</v>
      </c>
      <c r="T71" s="440">
        <f t="shared" si="18"/>
        <v>1031.4334565779918</v>
      </c>
      <c r="U71" s="440">
        <f t="shared" si="18"/>
        <v>967.72495001139851</v>
      </c>
      <c r="V71" s="440">
        <f t="shared" si="18"/>
        <v>901.35530897455192</v>
      </c>
      <c r="W71" s="441">
        <f t="shared" si="18"/>
        <v>2245.8494661391014</v>
      </c>
      <c r="Y71" s="333" t="s">
        <v>81</v>
      </c>
      <c r="Z71" s="398" t="s">
        <v>82</v>
      </c>
      <c r="AA71" s="442">
        <f>(C13-C71)/C71</f>
        <v>0.16914117456087749</v>
      </c>
      <c r="AB71" s="443">
        <f t="shared" ref="AB71:AI71" si="19">(D13-D71)/D71</f>
        <v>6.363848508114929E-2</v>
      </c>
      <c r="AC71" s="443">
        <f t="shared" si="19"/>
        <v>-8.9139452894183596E-2</v>
      </c>
      <c r="AD71" s="443">
        <f>(F13-F71)/F71</f>
        <v>-0.11874544796621646</v>
      </c>
      <c r="AE71" s="443">
        <f>(G13-G71)/G71</f>
        <v>-0.13162336003563566</v>
      </c>
      <c r="AF71" s="443">
        <f t="shared" si="19"/>
        <v>0.14462997031245808</v>
      </c>
      <c r="AG71" s="443">
        <f t="shared" si="19"/>
        <v>0.13923393109297055</v>
      </c>
      <c r="AH71" s="443">
        <f t="shared" si="19"/>
        <v>0.13295933842866375</v>
      </c>
      <c r="AI71" s="444">
        <f t="shared" si="19"/>
        <v>3.7683472897318826E-2</v>
      </c>
    </row>
    <row r="72" spans="1:35" ht="14.25">
      <c r="A72" s="333" t="s">
        <v>83</v>
      </c>
      <c r="B72" s="398" t="s">
        <v>82</v>
      </c>
      <c r="C72" s="399">
        <v>12526.692226961295</v>
      </c>
      <c r="D72" s="399">
        <v>12228.266300050751</v>
      </c>
      <c r="E72" s="399">
        <v>11884.134151354718</v>
      </c>
      <c r="F72" s="399">
        <v>11492.202040874312</v>
      </c>
      <c r="G72" s="399">
        <v>11050.484202226233</v>
      </c>
      <c r="H72" s="399">
        <v>10553.541498140641</v>
      </c>
      <c r="I72" s="399">
        <v>9990.1348378965049</v>
      </c>
      <c r="J72" s="399">
        <v>9369.1191691601634</v>
      </c>
      <c r="K72" s="369">
        <f>SUM(C72:J72)</f>
        <v>89094.574426664622</v>
      </c>
      <c r="M72" s="333" t="s">
        <v>83</v>
      </c>
      <c r="N72" s="398" t="s">
        <v>82</v>
      </c>
      <c r="O72" s="439">
        <f t="shared" ref="O72:W72" si="20">C14-C72</f>
        <v>-396.69222696129509</v>
      </c>
      <c r="P72" s="440">
        <f t="shared" si="20"/>
        <v>-3382.2663000507509</v>
      </c>
      <c r="Q72" s="440">
        <f t="shared" si="20"/>
        <v>-3209.1341513547177</v>
      </c>
      <c r="R72" s="440">
        <f>F14-F72</f>
        <v>-3598.2020408743119</v>
      </c>
      <c r="S72" s="440">
        <f>G14-G72</f>
        <v>-3003.4842022262328</v>
      </c>
      <c r="T72" s="440">
        <f t="shared" si="20"/>
        <v>-835.78249273269466</v>
      </c>
      <c r="U72" s="440">
        <f t="shared" si="20"/>
        <v>-563.90860265079755</v>
      </c>
      <c r="V72" s="440">
        <f t="shared" si="20"/>
        <v>-225.67972097182792</v>
      </c>
      <c r="W72" s="441">
        <f t="shared" si="20"/>
        <v>-15215.149737822634</v>
      </c>
      <c r="Y72" s="333" t="s">
        <v>83</v>
      </c>
      <c r="Z72" s="398" t="s">
        <v>82</v>
      </c>
      <c r="AA72" s="442">
        <f t="shared" ref="AA72:AI73" si="21">(C14-C72)/C72</f>
        <v>-3.1667755523480605E-2</v>
      </c>
      <c r="AB72" s="443">
        <f t="shared" si="21"/>
        <v>-0.27659409903730292</v>
      </c>
      <c r="AC72" s="443">
        <f t="shared" si="21"/>
        <v>-0.27003516709619912</v>
      </c>
      <c r="AD72" s="443">
        <f>(F14-F72)/F72</f>
        <v>-0.31309944152361641</v>
      </c>
      <c r="AE72" s="443">
        <f>(G14-G72)/G72</f>
        <v>-0.27179661517647802</v>
      </c>
      <c r="AF72" s="443">
        <f t="shared" si="21"/>
        <v>-7.9194504790637874E-2</v>
      </c>
      <c r="AG72" s="443">
        <f t="shared" si="21"/>
        <v>-5.6446545697428505E-2</v>
      </c>
      <c r="AH72" s="443">
        <f t="shared" si="21"/>
        <v>-2.4087613456202583E-2</v>
      </c>
      <c r="AI72" s="444">
        <f t="shared" si="21"/>
        <v>-0.17077526702084989</v>
      </c>
    </row>
    <row r="73" spans="1:35" ht="14.25">
      <c r="A73" s="333" t="s">
        <v>84</v>
      </c>
      <c r="B73" s="398" t="s">
        <v>82</v>
      </c>
      <c r="C73" s="399" t="s">
        <v>111</v>
      </c>
      <c r="D73" s="399" t="s">
        <v>111</v>
      </c>
      <c r="E73" s="399" t="s">
        <v>111</v>
      </c>
      <c r="F73" s="399" t="s">
        <v>111</v>
      </c>
      <c r="G73" s="399" t="s">
        <v>111</v>
      </c>
      <c r="H73" s="399" t="s">
        <v>111</v>
      </c>
      <c r="I73" s="399" t="s">
        <v>111</v>
      </c>
      <c r="J73" s="399" t="s">
        <v>111</v>
      </c>
      <c r="K73" s="445" t="s">
        <v>260</v>
      </c>
      <c r="M73" s="333" t="s">
        <v>84</v>
      </c>
      <c r="N73" s="398" t="s">
        <v>82</v>
      </c>
      <c r="O73" s="439"/>
      <c r="P73" s="440"/>
      <c r="Q73" s="440"/>
      <c r="R73" s="440"/>
      <c r="S73" s="440"/>
      <c r="T73" s="440"/>
      <c r="U73" s="440"/>
      <c r="V73" s="440"/>
      <c r="W73" s="441"/>
      <c r="Y73" s="333" t="s">
        <v>84</v>
      </c>
      <c r="Z73" s="398" t="s">
        <v>82</v>
      </c>
      <c r="AA73" s="442"/>
      <c r="AB73" s="443"/>
      <c r="AC73" s="443"/>
      <c r="AD73" s="443"/>
      <c r="AE73" s="443"/>
      <c r="AF73" s="443"/>
      <c r="AG73" s="443"/>
      <c r="AH73" s="443"/>
      <c r="AI73" s="444" t="e">
        <f t="shared" si="21"/>
        <v>#VALUE!</v>
      </c>
    </row>
    <row r="74" spans="1:35">
      <c r="A74" s="349"/>
      <c r="B74" s="350"/>
      <c r="C74" s="350"/>
      <c r="D74" s="350"/>
      <c r="E74" s="350"/>
      <c r="F74" s="350"/>
      <c r="G74" s="350"/>
      <c r="H74" s="350"/>
      <c r="I74" s="350"/>
      <c r="J74" s="350"/>
      <c r="K74" s="404"/>
      <c r="M74" s="349"/>
      <c r="N74" s="350"/>
      <c r="O74" s="446"/>
      <c r="P74" s="446"/>
      <c r="Q74" s="446"/>
      <c r="R74" s="446"/>
      <c r="S74" s="446"/>
      <c r="T74" s="446"/>
      <c r="U74" s="446"/>
      <c r="V74" s="446"/>
      <c r="W74" s="447"/>
      <c r="Y74" s="349"/>
      <c r="Z74" s="350"/>
      <c r="AA74" s="448"/>
      <c r="AB74" s="448"/>
      <c r="AC74" s="448"/>
      <c r="AD74" s="448"/>
      <c r="AE74" s="448"/>
      <c r="AF74" s="448"/>
      <c r="AG74" s="448"/>
      <c r="AH74" s="448"/>
      <c r="AI74" s="449"/>
    </row>
    <row r="75" spans="1:35">
      <c r="A75" s="354" t="s">
        <v>85</v>
      </c>
      <c r="B75" s="355"/>
      <c r="C75" s="355"/>
      <c r="D75" s="355"/>
      <c r="E75" s="355"/>
      <c r="F75" s="355"/>
      <c r="G75" s="355"/>
      <c r="H75" s="355"/>
      <c r="I75" s="355"/>
      <c r="J75" s="355"/>
      <c r="K75" s="409"/>
      <c r="M75" s="354" t="s">
        <v>85</v>
      </c>
      <c r="N75" s="355"/>
      <c r="O75" s="450"/>
      <c r="P75" s="450"/>
      <c r="Q75" s="450"/>
      <c r="R75" s="450"/>
      <c r="S75" s="450"/>
      <c r="T75" s="450"/>
      <c r="U75" s="450"/>
      <c r="V75" s="450"/>
      <c r="W75" s="451"/>
      <c r="Y75" s="354" t="s">
        <v>85</v>
      </c>
      <c r="Z75" s="355"/>
      <c r="AA75" s="452"/>
      <c r="AB75" s="452"/>
      <c r="AC75" s="452"/>
      <c r="AD75" s="452"/>
      <c r="AE75" s="452"/>
      <c r="AF75" s="452"/>
      <c r="AG75" s="452"/>
      <c r="AH75" s="452"/>
      <c r="AI75" s="453"/>
    </row>
    <row r="76" spans="1:35">
      <c r="A76" s="333" t="s">
        <v>86</v>
      </c>
      <c r="B76" s="414" t="s">
        <v>87</v>
      </c>
      <c r="C76" s="415">
        <v>18.320999999999998</v>
      </c>
      <c r="D76" s="415">
        <v>18.320999999999998</v>
      </c>
      <c r="E76" s="415">
        <v>17.934999999999999</v>
      </c>
      <c r="F76" s="415">
        <v>17.934999999999999</v>
      </c>
      <c r="G76" s="415">
        <v>17.548999999999999</v>
      </c>
      <c r="H76" s="415">
        <v>16.831</v>
      </c>
      <c r="I76" s="415">
        <v>16.831</v>
      </c>
      <c r="J76" s="415">
        <v>16.116</v>
      </c>
      <c r="K76" s="416">
        <f t="shared" ref="K76:K83" si="22">SUM(C76:J76)</f>
        <v>139.839</v>
      </c>
      <c r="M76" s="333" t="s">
        <v>86</v>
      </c>
      <c r="N76" s="414" t="s">
        <v>87</v>
      </c>
      <c r="O76" s="454">
        <f t="shared" ref="O76:W83" si="23">C18-C76</f>
        <v>-9.7574999999999967</v>
      </c>
      <c r="P76" s="455">
        <f t="shared" si="23"/>
        <v>-12.552499999999998</v>
      </c>
      <c r="Q76" s="455">
        <f t="shared" si="23"/>
        <v>-8.0454999999999988</v>
      </c>
      <c r="R76" s="455">
        <f t="shared" si="23"/>
        <v>-11.863999999999999</v>
      </c>
      <c r="S76" s="455">
        <f t="shared" si="23"/>
        <v>-10.630989999999999</v>
      </c>
      <c r="T76" s="455">
        <f t="shared" si="23"/>
        <v>-3.7948048467824957</v>
      </c>
      <c r="U76" s="455">
        <f t="shared" si="23"/>
        <v>-5.0157063573946719</v>
      </c>
      <c r="V76" s="455">
        <f t="shared" si="23"/>
        <v>-3.8915335334983201</v>
      </c>
      <c r="W76" s="456">
        <f t="shared" si="23"/>
        <v>-65.552534737675487</v>
      </c>
      <c r="Y76" s="333" t="s">
        <v>86</v>
      </c>
      <c r="Z76" s="414" t="s">
        <v>87</v>
      </c>
      <c r="AA76" s="457">
        <f t="shared" ref="AA76:AI83" si="24">(C18-C76)/C76</f>
        <v>-0.53258555755690185</v>
      </c>
      <c r="AB76" s="458">
        <f t="shared" si="24"/>
        <v>-0.68514273238360346</v>
      </c>
      <c r="AC76" s="458">
        <f t="shared" si="24"/>
        <v>-0.44859213827711175</v>
      </c>
      <c r="AD76" s="458">
        <f t="shared" si="24"/>
        <v>-0.66149986060775023</v>
      </c>
      <c r="AE76" s="458">
        <f t="shared" si="24"/>
        <v>-0.60578893384238408</v>
      </c>
      <c r="AF76" s="458">
        <f t="shared" si="24"/>
        <v>-0.22546520389652996</v>
      </c>
      <c r="AG76" s="458">
        <f t="shared" si="24"/>
        <v>-0.29800406139829316</v>
      </c>
      <c r="AH76" s="458">
        <f t="shared" si="24"/>
        <v>-0.24147018698798214</v>
      </c>
      <c r="AI76" s="459">
        <f t="shared" si="24"/>
        <v>-0.46877147818330717</v>
      </c>
    </row>
    <row r="77" spans="1:35" ht="14.25">
      <c r="A77" s="333" t="s">
        <v>88</v>
      </c>
      <c r="B77" s="398" t="s">
        <v>82</v>
      </c>
      <c r="C77" s="367">
        <v>8</v>
      </c>
      <c r="D77" s="367">
        <v>8</v>
      </c>
      <c r="E77" s="367">
        <v>8</v>
      </c>
      <c r="F77" s="367">
        <v>8</v>
      </c>
      <c r="G77" s="367">
        <v>8</v>
      </c>
      <c r="H77" s="367">
        <v>7</v>
      </c>
      <c r="I77" s="367">
        <v>7</v>
      </c>
      <c r="J77" s="367">
        <v>6</v>
      </c>
      <c r="K77" s="416">
        <f t="shared" si="22"/>
        <v>60</v>
      </c>
      <c r="M77" s="333" t="s">
        <v>88</v>
      </c>
      <c r="N77" s="398" t="s">
        <v>82</v>
      </c>
      <c r="O77" s="440">
        <f t="shared" si="23"/>
        <v>-4</v>
      </c>
      <c r="P77" s="440">
        <f t="shared" si="23"/>
        <v>-5</v>
      </c>
      <c r="Q77" s="440">
        <f t="shared" si="23"/>
        <v>-4</v>
      </c>
      <c r="R77" s="440">
        <f t="shared" si="23"/>
        <v>-2</v>
      </c>
      <c r="S77" s="440">
        <f t="shared" si="23"/>
        <v>-7</v>
      </c>
      <c r="T77" s="440">
        <f t="shared" si="23"/>
        <v>1</v>
      </c>
      <c r="U77" s="440">
        <f t="shared" si="23"/>
        <v>1</v>
      </c>
      <c r="V77" s="440">
        <f t="shared" si="23"/>
        <v>2</v>
      </c>
      <c r="W77" s="456">
        <f t="shared" si="23"/>
        <v>-18</v>
      </c>
      <c r="Y77" s="333" t="s">
        <v>88</v>
      </c>
      <c r="Z77" s="398" t="s">
        <v>82</v>
      </c>
      <c r="AA77" s="443">
        <f t="shared" si="24"/>
        <v>-0.5</v>
      </c>
      <c r="AB77" s="443">
        <f t="shared" si="24"/>
        <v>-0.625</v>
      </c>
      <c r="AC77" s="443">
        <f t="shared" si="24"/>
        <v>-0.5</v>
      </c>
      <c r="AD77" s="443">
        <f t="shared" si="24"/>
        <v>-0.25</v>
      </c>
      <c r="AE77" s="443">
        <f t="shared" si="24"/>
        <v>-0.875</v>
      </c>
      <c r="AF77" s="443">
        <f t="shared" si="24"/>
        <v>0.14285714285714285</v>
      </c>
      <c r="AG77" s="443">
        <f t="shared" si="24"/>
        <v>0.14285714285714285</v>
      </c>
      <c r="AH77" s="443">
        <f t="shared" si="24"/>
        <v>0.33333333333333331</v>
      </c>
      <c r="AI77" s="459">
        <f t="shared" si="24"/>
        <v>-0.3</v>
      </c>
    </row>
    <row r="78" spans="1:35" ht="15" thickBot="1">
      <c r="A78" s="333" t="s">
        <v>89</v>
      </c>
      <c r="B78" s="366" t="s">
        <v>82</v>
      </c>
      <c r="C78" s="422">
        <v>8965.944159671033</v>
      </c>
      <c r="D78" s="422">
        <v>9173.031369181228</v>
      </c>
      <c r="E78" s="422">
        <v>9462.3073014899837</v>
      </c>
      <c r="F78" s="422">
        <v>9655.5274621092831</v>
      </c>
      <c r="G78" s="422">
        <v>9910.7949583958689</v>
      </c>
      <c r="H78" s="422">
        <v>10189.251128744025</v>
      </c>
      <c r="I78" s="422">
        <v>10576.386710766898</v>
      </c>
      <c r="J78" s="422">
        <v>10990.305636046782</v>
      </c>
      <c r="K78" s="423">
        <f t="shared" si="22"/>
        <v>78923.548726405104</v>
      </c>
      <c r="M78" s="333" t="s">
        <v>89</v>
      </c>
      <c r="N78" s="366" t="s">
        <v>82</v>
      </c>
      <c r="O78" s="460">
        <f t="shared" si="23"/>
        <v>-2655.944159671033</v>
      </c>
      <c r="P78" s="460">
        <f t="shared" si="23"/>
        <v>-2307.031369181228</v>
      </c>
      <c r="Q78" s="460">
        <f t="shared" si="23"/>
        <v>-1983.3073014899837</v>
      </c>
      <c r="R78" s="460">
        <f t="shared" si="23"/>
        <v>-1743.5274621092831</v>
      </c>
      <c r="S78" s="460">
        <f t="shared" si="23"/>
        <v>-2709.7949583958689</v>
      </c>
      <c r="T78" s="460">
        <f t="shared" si="23"/>
        <v>-3045.2511287440248</v>
      </c>
      <c r="U78" s="460">
        <f t="shared" si="23"/>
        <v>-5013.3867107668975</v>
      </c>
      <c r="V78" s="460">
        <f t="shared" si="23"/>
        <v>-5394.3056360467817</v>
      </c>
      <c r="W78" s="461">
        <f t="shared" si="23"/>
        <v>-24852.548726405104</v>
      </c>
      <c r="Y78" s="333" t="s">
        <v>89</v>
      </c>
      <c r="Z78" s="366" t="s">
        <v>82</v>
      </c>
      <c r="AA78" s="462">
        <f t="shared" si="24"/>
        <v>-0.2962258198771206</v>
      </c>
      <c r="AB78" s="462">
        <f t="shared" si="24"/>
        <v>-0.25150152401442732</v>
      </c>
      <c r="AC78" s="462">
        <f t="shared" si="24"/>
        <v>-0.20960081281419404</v>
      </c>
      <c r="AD78" s="462">
        <f t="shared" si="24"/>
        <v>-0.18057298981866327</v>
      </c>
      <c r="AE78" s="462">
        <f t="shared" si="24"/>
        <v>-0.2734185269467494</v>
      </c>
      <c r="AF78" s="462">
        <f t="shared" si="24"/>
        <v>-0.29886898362464809</v>
      </c>
      <c r="AG78" s="462">
        <f t="shared" si="24"/>
        <v>-0.47401696324730691</v>
      </c>
      <c r="AH78" s="462">
        <f t="shared" si="24"/>
        <v>-0.49082398749259132</v>
      </c>
      <c r="AI78" s="463">
        <f t="shared" si="24"/>
        <v>-0.31489395912186469</v>
      </c>
    </row>
    <row r="79" spans="1:35" ht="15" thickTop="1">
      <c r="A79" s="333" t="s">
        <v>90</v>
      </c>
      <c r="B79" s="428" t="s">
        <v>82</v>
      </c>
      <c r="C79" s="364">
        <v>1759.3142239048134</v>
      </c>
      <c r="D79" s="364">
        <v>1950.5873445105462</v>
      </c>
      <c r="E79" s="364">
        <v>2009.3639805300161</v>
      </c>
      <c r="F79" s="364">
        <v>1977.4851270957274</v>
      </c>
      <c r="G79" s="364">
        <v>1913.7274202271497</v>
      </c>
      <c r="H79" s="364">
        <v>1851.9621416982152</v>
      </c>
      <c r="I79" s="364">
        <v>1833.0340724716061</v>
      </c>
      <c r="J79" s="364">
        <v>1753.3369388858841</v>
      </c>
      <c r="K79" s="348">
        <f t="shared" si="22"/>
        <v>15048.811249323959</v>
      </c>
      <c r="M79" s="333" t="s">
        <v>90</v>
      </c>
      <c r="N79" s="428" t="s">
        <v>82</v>
      </c>
      <c r="O79" s="464">
        <f t="shared" si="23"/>
        <v>-99.314223904813389</v>
      </c>
      <c r="P79" s="465">
        <f t="shared" si="23"/>
        <v>306.41265548945375</v>
      </c>
      <c r="Q79" s="465">
        <f t="shared" si="23"/>
        <v>52.636019469983921</v>
      </c>
      <c r="R79" s="465">
        <f t="shared" si="23"/>
        <v>493.51487290427258</v>
      </c>
      <c r="S79" s="465">
        <f t="shared" si="23"/>
        <v>699.27257977285035</v>
      </c>
      <c r="T79" s="465">
        <f t="shared" si="23"/>
        <v>394.03785830178481</v>
      </c>
      <c r="U79" s="465">
        <f t="shared" si="23"/>
        <v>488.96592752839388</v>
      </c>
      <c r="V79" s="465">
        <f t="shared" si="23"/>
        <v>625.66306111411586</v>
      </c>
      <c r="W79" s="466">
        <f t="shared" si="23"/>
        <v>2961.1887506760413</v>
      </c>
      <c r="Y79" s="333" t="s">
        <v>90</v>
      </c>
      <c r="Z79" s="428" t="s">
        <v>82</v>
      </c>
      <c r="AA79" s="467">
        <f t="shared" si="24"/>
        <v>-5.645053200580883E-2</v>
      </c>
      <c r="AB79" s="468">
        <f t="shared" si="24"/>
        <v>0.15708738004056966</v>
      </c>
      <c r="AC79" s="468">
        <f t="shared" si="24"/>
        <v>2.619536329903752E-2</v>
      </c>
      <c r="AD79" s="468">
        <f t="shared" si="24"/>
        <v>0.24956692019680721</v>
      </c>
      <c r="AE79" s="468">
        <f t="shared" si="24"/>
        <v>0.36539821313207199</v>
      </c>
      <c r="AF79" s="468">
        <f t="shared" si="24"/>
        <v>0.21276777177553929</v>
      </c>
      <c r="AG79" s="468">
        <f t="shared" si="24"/>
        <v>0.2667522305622434</v>
      </c>
      <c r="AH79" s="468">
        <f t="shared" si="24"/>
        <v>0.35684131625703297</v>
      </c>
      <c r="AI79" s="469">
        <f t="shared" si="24"/>
        <v>0.19677227002292738</v>
      </c>
    </row>
    <row r="80" spans="1:35" ht="14.25">
      <c r="A80" s="333" t="s">
        <v>91</v>
      </c>
      <c r="B80" s="398" t="s">
        <v>82</v>
      </c>
      <c r="C80" s="399">
        <v>5168.6299357662192</v>
      </c>
      <c r="D80" s="399">
        <v>5095.4440246706818</v>
      </c>
      <c r="E80" s="399">
        <v>5307.9433209599674</v>
      </c>
      <c r="F80" s="399">
        <v>5538.0423350135552</v>
      </c>
      <c r="G80" s="399">
        <v>5840.0675381687197</v>
      </c>
      <c r="H80" s="399">
        <v>6145.2889870458093</v>
      </c>
      <c r="I80" s="399">
        <v>6525.3526382952914</v>
      </c>
      <c r="J80" s="399">
        <v>6972.9686971608971</v>
      </c>
      <c r="K80" s="369">
        <f t="shared" si="22"/>
        <v>46593.737477081137</v>
      </c>
      <c r="M80" s="333" t="s">
        <v>91</v>
      </c>
      <c r="N80" s="398" t="s">
        <v>82</v>
      </c>
      <c r="O80" s="439">
        <f t="shared" si="23"/>
        <v>-2117.6299357662192</v>
      </c>
      <c r="P80" s="440">
        <f t="shared" si="23"/>
        <v>-2591.4440246706818</v>
      </c>
      <c r="Q80" s="440">
        <f t="shared" si="23"/>
        <v>-2941.9433209599674</v>
      </c>
      <c r="R80" s="440">
        <f t="shared" si="23"/>
        <v>-3193.0423350135552</v>
      </c>
      <c r="S80" s="440">
        <f t="shared" si="23"/>
        <v>-3765.0675381687197</v>
      </c>
      <c r="T80" s="440">
        <f t="shared" si="23"/>
        <v>-4270.2889870458093</v>
      </c>
      <c r="U80" s="440">
        <f t="shared" si="23"/>
        <v>-4634.3526382952914</v>
      </c>
      <c r="V80" s="440">
        <f t="shared" si="23"/>
        <v>-5128.9686971608971</v>
      </c>
      <c r="W80" s="441">
        <f t="shared" si="23"/>
        <v>-28642.737477081137</v>
      </c>
      <c r="Y80" s="333" t="s">
        <v>91</v>
      </c>
      <c r="Z80" s="398" t="s">
        <v>82</v>
      </c>
      <c r="AA80" s="442">
        <f t="shared" si="24"/>
        <v>-0.40970817452271185</v>
      </c>
      <c r="AB80" s="443">
        <f t="shared" si="24"/>
        <v>-0.5085806088976057</v>
      </c>
      <c r="AC80" s="443">
        <f t="shared" si="24"/>
        <v>-0.55425296448491512</v>
      </c>
      <c r="AD80" s="443">
        <f t="shared" si="24"/>
        <v>-0.57656517264701257</v>
      </c>
      <c r="AE80" s="443">
        <f t="shared" si="24"/>
        <v>-0.6446958898268732</v>
      </c>
      <c r="AF80" s="443">
        <f t="shared" si="24"/>
        <v>-0.69488822999984601</v>
      </c>
      <c r="AG80" s="443">
        <f t="shared" si="24"/>
        <v>-0.71020723249463924</v>
      </c>
      <c r="AH80" s="443">
        <f t="shared" si="24"/>
        <v>-0.73555022543686444</v>
      </c>
      <c r="AI80" s="444">
        <f t="shared" si="24"/>
        <v>-0.61473363220046751</v>
      </c>
    </row>
    <row r="81" spans="1:35" ht="14.25">
      <c r="A81" s="333" t="s">
        <v>92</v>
      </c>
      <c r="B81" s="398" t="s">
        <v>82</v>
      </c>
      <c r="C81" s="399">
        <v>538</v>
      </c>
      <c r="D81" s="399">
        <v>627</v>
      </c>
      <c r="E81" s="399">
        <v>645</v>
      </c>
      <c r="F81" s="399">
        <v>640</v>
      </c>
      <c r="G81" s="399">
        <v>657</v>
      </c>
      <c r="H81" s="399">
        <v>692</v>
      </c>
      <c r="I81" s="399">
        <v>718</v>
      </c>
      <c r="J81" s="399">
        <v>764</v>
      </c>
      <c r="K81" s="369">
        <f t="shared" si="22"/>
        <v>5281</v>
      </c>
      <c r="M81" s="333" t="s">
        <v>92</v>
      </c>
      <c r="N81" s="398" t="s">
        <v>82</v>
      </c>
      <c r="O81" s="439">
        <f t="shared" si="23"/>
        <v>-103</v>
      </c>
      <c r="P81" s="440">
        <f t="shared" si="23"/>
        <v>-229</v>
      </c>
      <c r="Q81" s="440">
        <f t="shared" si="23"/>
        <v>-52</v>
      </c>
      <c r="R81" s="440">
        <f t="shared" si="23"/>
        <v>-182</v>
      </c>
      <c r="S81" s="440">
        <f t="shared" si="23"/>
        <v>-243</v>
      </c>
      <c r="T81" s="440">
        <f t="shared" si="23"/>
        <v>-303</v>
      </c>
      <c r="U81" s="440">
        <f t="shared" si="23"/>
        <v>-268</v>
      </c>
      <c r="V81" s="440">
        <f t="shared" si="23"/>
        <v>-291</v>
      </c>
      <c r="W81" s="441">
        <f t="shared" si="23"/>
        <v>-1671</v>
      </c>
      <c r="Y81" s="333" t="s">
        <v>92</v>
      </c>
      <c r="Z81" s="398" t="s">
        <v>82</v>
      </c>
      <c r="AA81" s="442">
        <f t="shared" si="24"/>
        <v>-0.19144981412639406</v>
      </c>
      <c r="AB81" s="443">
        <f t="shared" si="24"/>
        <v>-0.36523125996810207</v>
      </c>
      <c r="AC81" s="443">
        <f t="shared" si="24"/>
        <v>-8.0620155038759689E-2</v>
      </c>
      <c r="AD81" s="443">
        <f t="shared" si="24"/>
        <v>-0.28437499999999999</v>
      </c>
      <c r="AE81" s="443">
        <f t="shared" si="24"/>
        <v>-0.36986301369863012</v>
      </c>
      <c r="AF81" s="443">
        <f t="shared" si="24"/>
        <v>-0.43786127167630057</v>
      </c>
      <c r="AG81" s="443">
        <f t="shared" si="24"/>
        <v>-0.37325905292479111</v>
      </c>
      <c r="AH81" s="443">
        <f t="shared" si="24"/>
        <v>-0.38089005235602097</v>
      </c>
      <c r="AI81" s="444">
        <f t="shared" si="24"/>
        <v>-0.31641734519977277</v>
      </c>
    </row>
    <row r="82" spans="1:35" ht="14.25">
      <c r="A82" s="333" t="s">
        <v>93</v>
      </c>
      <c r="B82" s="398" t="s">
        <v>82</v>
      </c>
      <c r="C82" s="399">
        <v>1500</v>
      </c>
      <c r="D82" s="399">
        <v>1500</v>
      </c>
      <c r="E82" s="399">
        <v>1917</v>
      </c>
      <c r="F82" s="399">
        <v>1917</v>
      </c>
      <c r="G82" s="399">
        <v>1917</v>
      </c>
      <c r="H82" s="399">
        <v>1917</v>
      </c>
      <c r="I82" s="399">
        <v>1916</v>
      </c>
      <c r="J82" s="399">
        <v>1916</v>
      </c>
      <c r="K82" s="369">
        <f t="shared" si="22"/>
        <v>14500</v>
      </c>
      <c r="M82" s="333" t="s">
        <v>93</v>
      </c>
      <c r="N82" s="398" t="s">
        <v>82</v>
      </c>
      <c r="O82" s="439">
        <f t="shared" si="23"/>
        <v>-336</v>
      </c>
      <c r="P82" s="440">
        <f t="shared" si="23"/>
        <v>207</v>
      </c>
      <c r="Q82" s="440">
        <f t="shared" si="23"/>
        <v>541</v>
      </c>
      <c r="R82" s="440">
        <f t="shared" si="23"/>
        <v>721</v>
      </c>
      <c r="S82" s="440">
        <f t="shared" si="23"/>
        <v>182</v>
      </c>
      <c r="T82" s="440">
        <f t="shared" si="23"/>
        <v>717</v>
      </c>
      <c r="U82" s="440">
        <f t="shared" si="23"/>
        <v>-1016</v>
      </c>
      <c r="V82" s="440">
        <f t="shared" si="23"/>
        <v>-1016</v>
      </c>
      <c r="W82" s="441">
        <f t="shared" si="23"/>
        <v>0</v>
      </c>
      <c r="Y82" s="333" t="s">
        <v>93</v>
      </c>
      <c r="Z82" s="398" t="s">
        <v>82</v>
      </c>
      <c r="AA82" s="442">
        <f t="shared" si="24"/>
        <v>-0.224</v>
      </c>
      <c r="AB82" s="443">
        <f t="shared" si="24"/>
        <v>0.13800000000000001</v>
      </c>
      <c r="AC82" s="443">
        <f t="shared" si="24"/>
        <v>0.28221178925404278</v>
      </c>
      <c r="AD82" s="443">
        <f t="shared" si="24"/>
        <v>0.37610850286906627</v>
      </c>
      <c r="AE82" s="443">
        <f t="shared" si="24"/>
        <v>9.494001043296818E-2</v>
      </c>
      <c r="AF82" s="443">
        <f t="shared" si="24"/>
        <v>0.37402190923317685</v>
      </c>
      <c r="AG82" s="443">
        <f t="shared" si="24"/>
        <v>-0.53027139874739038</v>
      </c>
      <c r="AH82" s="443">
        <f t="shared" si="24"/>
        <v>-0.53027139874739038</v>
      </c>
      <c r="AI82" s="444">
        <f t="shared" si="24"/>
        <v>0</v>
      </c>
    </row>
    <row r="83" spans="1:35" ht="14.25">
      <c r="A83" s="333" t="s">
        <v>94</v>
      </c>
      <c r="B83" s="398" t="s">
        <v>95</v>
      </c>
      <c r="C83" s="367">
        <v>30</v>
      </c>
      <c r="D83" s="367">
        <v>30</v>
      </c>
      <c r="E83" s="367">
        <v>30</v>
      </c>
      <c r="F83" s="367">
        <v>30</v>
      </c>
      <c r="G83" s="367">
        <v>30</v>
      </c>
      <c r="H83" s="367">
        <v>30</v>
      </c>
      <c r="I83" s="367">
        <v>30</v>
      </c>
      <c r="J83" s="367">
        <v>30</v>
      </c>
      <c r="K83" s="369">
        <f t="shared" si="22"/>
        <v>240</v>
      </c>
      <c r="M83" s="333" t="s">
        <v>94</v>
      </c>
      <c r="N83" s="398" t="s">
        <v>95</v>
      </c>
      <c r="O83" s="440">
        <f t="shared" si="23"/>
        <v>-10</v>
      </c>
      <c r="P83" s="440">
        <f t="shared" si="23"/>
        <v>-24</v>
      </c>
      <c r="Q83" s="440">
        <f t="shared" si="23"/>
        <v>-15</v>
      </c>
      <c r="R83" s="440">
        <f t="shared" si="23"/>
        <v>-20</v>
      </c>
      <c r="S83" s="440">
        <f t="shared" si="23"/>
        <v>-20</v>
      </c>
      <c r="T83" s="440">
        <f t="shared" si="23"/>
        <v>119</v>
      </c>
      <c r="U83" s="440">
        <f t="shared" si="23"/>
        <v>107</v>
      </c>
      <c r="V83" s="440">
        <f t="shared" si="23"/>
        <v>105</v>
      </c>
      <c r="W83" s="441">
        <f t="shared" si="23"/>
        <v>242</v>
      </c>
      <c r="Y83" s="333" t="s">
        <v>94</v>
      </c>
      <c r="Z83" s="398" t="s">
        <v>95</v>
      </c>
      <c r="AA83" s="443">
        <f t="shared" si="24"/>
        <v>-0.33333333333333331</v>
      </c>
      <c r="AB83" s="443">
        <f t="shared" si="24"/>
        <v>-0.8</v>
      </c>
      <c r="AC83" s="443">
        <f t="shared" si="24"/>
        <v>-0.5</v>
      </c>
      <c r="AD83" s="443">
        <f t="shared" si="24"/>
        <v>-0.66666666666666663</v>
      </c>
      <c r="AE83" s="443">
        <f t="shared" si="24"/>
        <v>-0.66666666666666663</v>
      </c>
      <c r="AF83" s="443">
        <f t="shared" si="24"/>
        <v>3.9666666666666668</v>
      </c>
      <c r="AG83" s="443">
        <f t="shared" si="24"/>
        <v>3.5666666666666669</v>
      </c>
      <c r="AH83" s="443">
        <f t="shared" si="24"/>
        <v>3.5</v>
      </c>
      <c r="AI83" s="444">
        <f t="shared" si="24"/>
        <v>1.0083333333333333</v>
      </c>
    </row>
    <row r="84" spans="1:35">
      <c r="A84" s="333"/>
      <c r="B84" s="350"/>
      <c r="C84" s="350"/>
      <c r="D84" s="350"/>
      <c r="E84" s="350"/>
      <c r="F84" s="350"/>
      <c r="G84" s="350"/>
      <c r="H84" s="350"/>
      <c r="I84" s="350"/>
      <c r="J84" s="350"/>
      <c r="K84" s="404"/>
      <c r="M84" s="333"/>
      <c r="N84" s="350"/>
      <c r="O84" s="446"/>
      <c r="P84" s="446"/>
      <c r="Q84" s="446"/>
      <c r="R84" s="446"/>
      <c r="S84" s="446"/>
      <c r="T84" s="446"/>
      <c r="U84" s="446"/>
      <c r="V84" s="446"/>
      <c r="W84" s="447"/>
      <c r="Y84" s="333"/>
      <c r="Z84" s="350"/>
      <c r="AA84" s="448"/>
      <c r="AB84" s="448"/>
      <c r="AC84" s="448"/>
      <c r="AD84" s="448"/>
      <c r="AE84" s="448"/>
      <c r="AF84" s="448"/>
      <c r="AG84" s="448"/>
      <c r="AH84" s="448"/>
      <c r="AI84" s="449"/>
    </row>
    <row r="85" spans="1:35">
      <c r="A85" s="370" t="s">
        <v>96</v>
      </c>
      <c r="B85" s="355"/>
      <c r="C85" s="355"/>
      <c r="D85" s="355"/>
      <c r="E85" s="355"/>
      <c r="F85" s="355"/>
      <c r="G85" s="355"/>
      <c r="H85" s="355"/>
      <c r="I85" s="355"/>
      <c r="J85" s="355"/>
      <c r="K85" s="409"/>
      <c r="M85" s="370" t="s">
        <v>96</v>
      </c>
      <c r="N85" s="355"/>
      <c r="O85" s="450"/>
      <c r="P85" s="450"/>
      <c r="Q85" s="450"/>
      <c r="R85" s="450"/>
      <c r="S85" s="450"/>
      <c r="T85" s="450"/>
      <c r="U85" s="450"/>
      <c r="V85" s="450"/>
      <c r="W85" s="451"/>
      <c r="Y85" s="370" t="s">
        <v>96</v>
      </c>
      <c r="Z85" s="355"/>
      <c r="AA85" s="452"/>
      <c r="AB85" s="452"/>
      <c r="AC85" s="452"/>
      <c r="AD85" s="452"/>
      <c r="AE85" s="452"/>
      <c r="AF85" s="452"/>
      <c r="AG85" s="452"/>
      <c r="AH85" s="452"/>
      <c r="AI85" s="453"/>
    </row>
    <row r="86" spans="1:35">
      <c r="A86" s="333" t="s">
        <v>97</v>
      </c>
      <c r="B86" s="414" t="s">
        <v>87</v>
      </c>
      <c r="C86" s="415">
        <v>461.49452085633425</v>
      </c>
      <c r="D86" s="415">
        <v>465.41240863721885</v>
      </c>
      <c r="E86" s="415">
        <v>464.78378740877952</v>
      </c>
      <c r="F86" s="415">
        <v>464.22472181100454</v>
      </c>
      <c r="G86" s="415">
        <v>463.57312005930589</v>
      </c>
      <c r="H86" s="415">
        <v>462.92553298176119</v>
      </c>
      <c r="I86" s="415">
        <v>462.52474506613936</v>
      </c>
      <c r="J86" s="415">
        <v>461.95443325756145</v>
      </c>
      <c r="K86" s="369">
        <f t="shared" ref="K86:K92" si="25">SUM(C86:J86)</f>
        <v>3706.8932700781052</v>
      </c>
      <c r="M86" s="333" t="s">
        <v>97</v>
      </c>
      <c r="N86" s="414" t="s">
        <v>87</v>
      </c>
      <c r="O86" s="454">
        <f t="shared" ref="O86:W92" si="26">C28-C86</f>
        <v>-14.312810856334295</v>
      </c>
      <c r="P86" s="455">
        <f t="shared" si="26"/>
        <v>24.430211362780426</v>
      </c>
      <c r="Q86" s="455">
        <f t="shared" si="26"/>
        <v>-22.05048740877919</v>
      </c>
      <c r="R86" s="455">
        <f t="shared" ref="R86:S92" si="27">G28-F86</f>
        <v>17.154278188992009</v>
      </c>
      <c r="S86" s="455">
        <f t="shared" si="27"/>
        <v>23.117179940693404</v>
      </c>
      <c r="T86" s="455">
        <f t="shared" si="26"/>
        <v>23.764767018238103</v>
      </c>
      <c r="U86" s="455">
        <f t="shared" si="26"/>
        <v>-10.405145066139369</v>
      </c>
      <c r="V86" s="455">
        <f t="shared" si="26"/>
        <v>-9.7344332575614203</v>
      </c>
      <c r="W86" s="456">
        <f t="shared" si="26"/>
        <v>7.2259921887052769E-2</v>
      </c>
      <c r="Y86" s="333" t="s">
        <v>97</v>
      </c>
      <c r="Z86" s="414" t="s">
        <v>87</v>
      </c>
      <c r="AA86" s="457">
        <f t="shared" ref="AA86:AI92" si="28">(C28-C86)/C86</f>
        <v>-3.1014042874823101E-2</v>
      </c>
      <c r="AB86" s="458">
        <f t="shared" si="28"/>
        <v>5.2491534195048428E-2</v>
      </c>
      <c r="AC86" s="458">
        <f t="shared" si="28"/>
        <v>-4.7442462508671117E-2</v>
      </c>
      <c r="AD86" s="458">
        <f t="shared" ref="AD86:AD92" si="29">(G28-F86)/F86</f>
        <v>3.6952530494435559E-2</v>
      </c>
      <c r="AE86" s="458" t="e">
        <f>(#REF!-G86)/G86</f>
        <v>#REF!</v>
      </c>
      <c r="AF86" s="458">
        <f t="shared" si="28"/>
        <v>5.1336047215123928E-2</v>
      </c>
      <c r="AG86" s="458">
        <f t="shared" si="28"/>
        <v>-2.2496407332004413E-2</v>
      </c>
      <c r="AH86" s="458">
        <f t="shared" si="28"/>
        <v>-2.1072280200705451E-2</v>
      </c>
      <c r="AI86" s="459">
        <f t="shared" si="28"/>
        <v>1.9493391533641386E-5</v>
      </c>
    </row>
    <row r="87" spans="1:35">
      <c r="A87" s="333" t="s">
        <v>98</v>
      </c>
      <c r="B87" s="414" t="s">
        <v>87</v>
      </c>
      <c r="C87" s="415">
        <v>30.649564690395366</v>
      </c>
      <c r="D87" s="415">
        <v>30.613516711129947</v>
      </c>
      <c r="E87" s="415">
        <v>30.612691350576032</v>
      </c>
      <c r="F87" s="415">
        <v>30.56549934572174</v>
      </c>
      <c r="G87" s="415">
        <v>30.633120673699885</v>
      </c>
      <c r="H87" s="415">
        <v>30.718411784080871</v>
      </c>
      <c r="I87" s="415">
        <v>30.579520072179683</v>
      </c>
      <c r="J87" s="415">
        <v>30.62664538487595</v>
      </c>
      <c r="K87" s="369">
        <f t="shared" si="25"/>
        <v>244.9989700126595</v>
      </c>
      <c r="M87" s="333" t="s">
        <v>98</v>
      </c>
      <c r="N87" s="414" t="s">
        <v>87</v>
      </c>
      <c r="O87" s="454">
        <f t="shared" si="26"/>
        <v>0.17783530960463878</v>
      </c>
      <c r="P87" s="455">
        <f t="shared" si="26"/>
        <v>-4.7098167111299603</v>
      </c>
      <c r="Q87" s="455">
        <f t="shared" si="26"/>
        <v>-13.093191350576031</v>
      </c>
      <c r="R87" s="455">
        <f t="shared" si="27"/>
        <v>2.0765006542782558</v>
      </c>
      <c r="S87" s="455">
        <f t="shared" si="27"/>
        <v>6.2926126596334555</v>
      </c>
      <c r="T87" s="455">
        <f t="shared" si="26"/>
        <v>6.2073215492524696</v>
      </c>
      <c r="U87" s="455">
        <f t="shared" si="26"/>
        <v>-5.4867867388463516</v>
      </c>
      <c r="V87" s="455">
        <f t="shared" si="26"/>
        <v>-5.5339120515426181</v>
      </c>
      <c r="W87" s="456">
        <f t="shared" si="26"/>
        <v>-34.549170012659488</v>
      </c>
      <c r="Y87" s="333" t="s">
        <v>98</v>
      </c>
      <c r="Z87" s="414" t="s">
        <v>87</v>
      </c>
      <c r="AA87" s="457">
        <f t="shared" si="28"/>
        <v>5.8022132255720719E-3</v>
      </c>
      <c r="AB87" s="458">
        <f t="shared" si="28"/>
        <v>-0.15384762082618375</v>
      </c>
      <c r="AC87" s="458">
        <f t="shared" si="28"/>
        <v>-0.42770467975628218</v>
      </c>
      <c r="AD87" s="458">
        <f t="shared" si="29"/>
        <v>6.7936094574843064E-2</v>
      </c>
      <c r="AE87" s="458" t="e">
        <f>(#REF!-G87)/G87</f>
        <v>#REF!</v>
      </c>
      <c r="AF87" s="458">
        <f t="shared" si="28"/>
        <v>0.20207169540155961</v>
      </c>
      <c r="AG87" s="458">
        <f t="shared" si="28"/>
        <v>-0.17942684273315535</v>
      </c>
      <c r="AH87" s="458">
        <f t="shared" si="28"/>
        <v>-0.18068946115382831</v>
      </c>
      <c r="AI87" s="459">
        <f t="shared" si="28"/>
        <v>-0.14101761330210602</v>
      </c>
    </row>
    <row r="88" spans="1:35">
      <c r="A88" s="333" t="s">
        <v>99</v>
      </c>
      <c r="B88" s="414" t="s">
        <v>87</v>
      </c>
      <c r="C88" s="415">
        <v>5.0007662084488924</v>
      </c>
      <c r="D88" s="415">
        <v>5.0007662084488924</v>
      </c>
      <c r="E88" s="415">
        <v>5.0007662084488924</v>
      </c>
      <c r="F88" s="415">
        <v>5.0007662084488924</v>
      </c>
      <c r="G88" s="415">
        <v>5.0007662084488924</v>
      </c>
      <c r="H88" s="415">
        <v>5.0007662084488924</v>
      </c>
      <c r="I88" s="415">
        <v>5.0007662084488924</v>
      </c>
      <c r="J88" s="415">
        <v>5.0007662084488924</v>
      </c>
      <c r="K88" s="369">
        <f t="shared" si="25"/>
        <v>40.006129667591146</v>
      </c>
      <c r="M88" s="333" t="s">
        <v>99</v>
      </c>
      <c r="N88" s="414" t="s">
        <v>87</v>
      </c>
      <c r="O88" s="454">
        <f t="shared" si="26"/>
        <v>2.4242337915511065</v>
      </c>
      <c r="P88" s="455">
        <f t="shared" si="26"/>
        <v>0.74223379155110614</v>
      </c>
      <c r="Q88" s="455">
        <f t="shared" si="26"/>
        <v>-1.0722662084488936</v>
      </c>
      <c r="R88" s="455">
        <f t="shared" si="27"/>
        <v>-2.6507662084488928</v>
      </c>
      <c r="S88" s="455">
        <f t="shared" si="27"/>
        <v>1.2827337915511112</v>
      </c>
      <c r="T88" s="455">
        <f t="shared" si="26"/>
        <v>1.2827337915511112</v>
      </c>
      <c r="U88" s="455">
        <f t="shared" si="26"/>
        <v>-7.6620844889241368E-4</v>
      </c>
      <c r="V88" s="455">
        <f t="shared" si="26"/>
        <v>-7.6620844889241368E-4</v>
      </c>
      <c r="W88" s="456">
        <f t="shared" si="26"/>
        <v>-5.1296675911487455E-3</v>
      </c>
      <c r="Y88" s="333" t="s">
        <v>99</v>
      </c>
      <c r="Z88" s="414" t="s">
        <v>87</v>
      </c>
      <c r="AA88" s="457">
        <f t="shared" si="28"/>
        <v>0.48477247095761367</v>
      </c>
      <c r="AB88" s="458">
        <f t="shared" si="28"/>
        <v>0.14842401356357904</v>
      </c>
      <c r="AC88" s="458">
        <f t="shared" si="28"/>
        <v>-0.2144203835478809</v>
      </c>
      <c r="AD88" s="458">
        <f t="shared" si="29"/>
        <v>-0.53007201255886971</v>
      </c>
      <c r="AE88" s="458" t="e">
        <f>(#REF!-G88)/G88</f>
        <v>#REF!</v>
      </c>
      <c r="AF88" s="458">
        <f t="shared" si="28"/>
        <v>0.25650745067504005</v>
      </c>
      <c r="AG88" s="458">
        <f t="shared" si="28"/>
        <v>-1.5321821036102219E-4</v>
      </c>
      <c r="AH88" s="458">
        <f t="shared" si="28"/>
        <v>-1.5321821036102219E-4</v>
      </c>
      <c r="AI88" s="459">
        <f t="shared" si="28"/>
        <v>-1.2822204081651704E-4</v>
      </c>
    </row>
    <row r="89" spans="1:35">
      <c r="A89" s="333" t="s">
        <v>100</v>
      </c>
      <c r="B89" s="414" t="s">
        <v>87</v>
      </c>
      <c r="C89" s="415">
        <v>47.446957628218186</v>
      </c>
      <c r="D89" s="415">
        <v>49.048890269538923</v>
      </c>
      <c r="E89" s="415">
        <v>49.001268559955548</v>
      </c>
      <c r="F89" s="415">
        <v>48.955399751003974</v>
      </c>
      <c r="G89" s="415">
        <v>48.911223136296734</v>
      </c>
      <c r="H89" s="415">
        <v>48.8686798265513</v>
      </c>
      <c r="I89" s="415">
        <v>48.828469217009562</v>
      </c>
      <c r="J89" s="415">
        <v>48.788266453823304</v>
      </c>
      <c r="K89" s="369">
        <f t="shared" si="25"/>
        <v>389.84915484239752</v>
      </c>
      <c r="M89" s="333" t="s">
        <v>100</v>
      </c>
      <c r="N89" s="414" t="s">
        <v>87</v>
      </c>
      <c r="O89" s="454">
        <f t="shared" si="26"/>
        <v>10.190442371781806</v>
      </c>
      <c r="P89" s="455">
        <f t="shared" si="26"/>
        <v>26.515949730461209</v>
      </c>
      <c r="Q89" s="455">
        <f t="shared" si="26"/>
        <v>-3.0937685599554996</v>
      </c>
      <c r="R89" s="455">
        <f t="shared" si="27"/>
        <v>10.68160024899597</v>
      </c>
      <c r="S89" s="455">
        <f t="shared" si="27"/>
        <v>16.088776863703266</v>
      </c>
      <c r="T89" s="455">
        <f t="shared" si="26"/>
        <v>16.1313201734487</v>
      </c>
      <c r="U89" s="455">
        <f t="shared" si="26"/>
        <v>23.171530782990438</v>
      </c>
      <c r="V89" s="455">
        <f t="shared" si="26"/>
        <v>31.211733546176696</v>
      </c>
      <c r="W89" s="456">
        <f t="shared" si="26"/>
        <v>125.41058515760267</v>
      </c>
      <c r="Y89" s="333" t="s">
        <v>100</v>
      </c>
      <c r="Z89" s="414" t="s">
        <v>87</v>
      </c>
      <c r="AA89" s="457">
        <f t="shared" si="28"/>
        <v>0.21477546467007258</v>
      </c>
      <c r="AB89" s="458">
        <f t="shared" si="28"/>
        <v>0.5406024394180543</v>
      </c>
      <c r="AC89" s="458">
        <f t="shared" si="28"/>
        <v>-6.3136499337157287E-2</v>
      </c>
      <c r="AD89" s="458">
        <f t="shared" si="29"/>
        <v>0.21819044075473845</v>
      </c>
      <c r="AE89" s="458" t="e">
        <f>(#REF!-G89)/G89</f>
        <v>#REF!</v>
      </c>
      <c r="AF89" s="458">
        <f t="shared" si="28"/>
        <v>0.33009527228284652</v>
      </c>
      <c r="AG89" s="458">
        <f t="shared" si="28"/>
        <v>0.47454960506766319</v>
      </c>
      <c r="AH89" s="458">
        <f t="shared" si="28"/>
        <v>0.63973852351810256</v>
      </c>
      <c r="AI89" s="459">
        <f t="shared" si="28"/>
        <v>0.32169002702674016</v>
      </c>
    </row>
    <row r="90" spans="1:35">
      <c r="A90" s="333" t="s">
        <v>101</v>
      </c>
      <c r="B90" s="414" t="s">
        <v>87</v>
      </c>
      <c r="C90" s="415">
        <v>0</v>
      </c>
      <c r="D90" s="415">
        <v>0</v>
      </c>
      <c r="E90" s="415">
        <v>0</v>
      </c>
      <c r="F90" s="415">
        <v>0</v>
      </c>
      <c r="G90" s="415">
        <v>0</v>
      </c>
      <c r="H90" s="415">
        <v>0</v>
      </c>
      <c r="I90" s="415">
        <v>0</v>
      </c>
      <c r="J90" s="415">
        <v>0</v>
      </c>
      <c r="K90" s="369">
        <f t="shared" si="25"/>
        <v>0</v>
      </c>
      <c r="M90" s="333" t="s">
        <v>101</v>
      </c>
      <c r="N90" s="414" t="s">
        <v>87</v>
      </c>
      <c r="O90" s="454">
        <f t="shared" si="26"/>
        <v>19.010449999999999</v>
      </c>
      <c r="P90" s="455">
        <f t="shared" si="26"/>
        <v>20.073899999999998</v>
      </c>
      <c r="Q90" s="455">
        <f t="shared" si="26"/>
        <v>20.020399999999999</v>
      </c>
      <c r="R90" s="455">
        <f t="shared" si="27"/>
        <v>16.01499999999999</v>
      </c>
      <c r="S90" s="455">
        <f t="shared" si="27"/>
        <v>16.401251999999996</v>
      </c>
      <c r="T90" s="455">
        <f t="shared" si="26"/>
        <v>16.401251999999996</v>
      </c>
      <c r="U90" s="455">
        <f t="shared" si="26"/>
        <v>16.401251999999996</v>
      </c>
      <c r="V90" s="455">
        <f t="shared" si="26"/>
        <v>16.401251999999996</v>
      </c>
      <c r="W90" s="456">
        <f t="shared" si="26"/>
        <v>143.74350599999997</v>
      </c>
      <c r="Y90" s="333" t="s">
        <v>101</v>
      </c>
      <c r="Z90" s="414" t="s">
        <v>87</v>
      </c>
      <c r="AA90" s="457" t="e">
        <f t="shared" si="28"/>
        <v>#DIV/0!</v>
      </c>
      <c r="AB90" s="458" t="e">
        <f t="shared" si="28"/>
        <v>#DIV/0!</v>
      </c>
      <c r="AC90" s="458" t="e">
        <f t="shared" si="28"/>
        <v>#DIV/0!</v>
      </c>
      <c r="AD90" s="458" t="e">
        <f t="shared" si="29"/>
        <v>#DIV/0!</v>
      </c>
      <c r="AE90" s="458" t="e">
        <f>(#REF!-G90)/G90</f>
        <v>#REF!</v>
      </c>
      <c r="AF90" s="458" t="e">
        <f t="shared" si="28"/>
        <v>#DIV/0!</v>
      </c>
      <c r="AG90" s="458" t="e">
        <f t="shared" si="28"/>
        <v>#DIV/0!</v>
      </c>
      <c r="AH90" s="458" t="e">
        <f t="shared" si="28"/>
        <v>#DIV/0!</v>
      </c>
      <c r="AI90" s="459" t="e">
        <f t="shared" si="28"/>
        <v>#DIV/0!</v>
      </c>
    </row>
    <row r="91" spans="1:35" ht="14.25">
      <c r="A91" s="333" t="s">
        <v>102</v>
      </c>
      <c r="B91" s="428" t="s">
        <v>82</v>
      </c>
      <c r="C91" s="399">
        <v>16711.916920088039</v>
      </c>
      <c r="D91" s="399">
        <v>16890.356589483723</v>
      </c>
      <c r="E91" s="399">
        <v>16868.324668397792</v>
      </c>
      <c r="F91" s="399">
        <v>16847.10371711386</v>
      </c>
      <c r="G91" s="399">
        <v>16826.665650156818</v>
      </c>
      <c r="H91" s="399">
        <v>16806.983222725183</v>
      </c>
      <c r="I91" s="399">
        <v>16788.380006167208</v>
      </c>
      <c r="J91" s="399">
        <v>16769.780419682284</v>
      </c>
      <c r="K91" s="369">
        <f t="shared" si="25"/>
        <v>134509.51119381492</v>
      </c>
      <c r="M91" s="333" t="s">
        <v>102</v>
      </c>
      <c r="N91" s="428" t="s">
        <v>82</v>
      </c>
      <c r="O91" s="439">
        <f t="shared" si="26"/>
        <v>-2123.9169200880388</v>
      </c>
      <c r="P91" s="440">
        <f t="shared" si="26"/>
        <v>-801.35658948372293</v>
      </c>
      <c r="Q91" s="440">
        <f t="shared" si="26"/>
        <v>-2660.3246683977923</v>
      </c>
      <c r="R91" s="440">
        <f t="shared" si="27"/>
        <v>-97.103717113859602</v>
      </c>
      <c r="S91" s="440">
        <f t="shared" si="27"/>
        <v>-454.46565015681699</v>
      </c>
      <c r="T91" s="440">
        <f t="shared" si="26"/>
        <v>-434.78322272518199</v>
      </c>
      <c r="U91" s="440">
        <f t="shared" si="26"/>
        <v>-1232.320284587222</v>
      </c>
      <c r="V91" s="440">
        <f t="shared" si="26"/>
        <v>-1212.2519146822651</v>
      </c>
      <c r="W91" s="456">
        <f t="shared" si="26"/>
        <v>-10110.722967234906</v>
      </c>
      <c r="Y91" s="333" t="s">
        <v>102</v>
      </c>
      <c r="Z91" s="428" t="s">
        <v>82</v>
      </c>
      <c r="AA91" s="442">
        <f t="shared" si="28"/>
        <v>-0.1270899640205278</v>
      </c>
      <c r="AB91" s="443">
        <f t="shared" si="28"/>
        <v>-4.7444622334537549E-2</v>
      </c>
      <c r="AC91" s="443">
        <f t="shared" si="28"/>
        <v>-0.15771125590093818</v>
      </c>
      <c r="AD91" s="443">
        <f t="shared" si="29"/>
        <v>-5.7638225978996231E-3</v>
      </c>
      <c r="AE91" s="443" t="e">
        <f>(#REF!-G91)/G91</f>
        <v>#REF!</v>
      </c>
      <c r="AF91" s="443">
        <f t="shared" si="28"/>
        <v>-2.5869200734210271E-2</v>
      </c>
      <c r="AG91" s="443">
        <f t="shared" si="28"/>
        <v>-7.3403168389953602E-2</v>
      </c>
      <c r="AH91" s="443">
        <f t="shared" si="28"/>
        <v>-7.2287882389889521E-2</v>
      </c>
      <c r="AI91" s="459">
        <f t="shared" si="28"/>
        <v>-7.5167345992852158E-2</v>
      </c>
    </row>
    <row r="92" spans="1:35" ht="14.25">
      <c r="A92" s="380" t="s">
        <v>103</v>
      </c>
      <c r="B92" s="428" t="s">
        <v>82</v>
      </c>
      <c r="C92" s="399">
        <v>31622.043344678845</v>
      </c>
      <c r="D92" s="399">
        <v>31876.371149239108</v>
      </c>
      <c r="E92" s="399">
        <v>31580.595122338171</v>
      </c>
      <c r="F92" s="399">
        <v>31248.2917264717</v>
      </c>
      <c r="G92" s="399">
        <v>30876.688894906252</v>
      </c>
      <c r="H92" s="399">
        <v>30572.700280589972</v>
      </c>
      <c r="I92" s="399">
        <v>30488.583233410769</v>
      </c>
      <c r="J92" s="399">
        <v>30020.184787510487</v>
      </c>
      <c r="K92" s="369">
        <f t="shared" si="25"/>
        <v>248285.4585391453</v>
      </c>
      <c r="M92" s="380" t="s">
        <v>103</v>
      </c>
      <c r="N92" s="428" t="s">
        <v>82</v>
      </c>
      <c r="O92" s="439">
        <f t="shared" si="26"/>
        <v>-2042.9830148927613</v>
      </c>
      <c r="P92" s="440">
        <f t="shared" si="26"/>
        <v>-1968.3711492391085</v>
      </c>
      <c r="Q92" s="440">
        <f t="shared" si="26"/>
        <v>-3817.5951223381708</v>
      </c>
      <c r="R92" s="440">
        <f t="shared" si="27"/>
        <v>-1181.2917264716998</v>
      </c>
      <c r="S92" s="440">
        <f t="shared" si="27"/>
        <v>4204.3111050937478</v>
      </c>
      <c r="T92" s="440">
        <f t="shared" si="26"/>
        <v>4508.299719410028</v>
      </c>
      <c r="U92" s="440">
        <f t="shared" si="26"/>
        <v>3123.416766589231</v>
      </c>
      <c r="V92" s="440">
        <f t="shared" si="26"/>
        <v>3595.8152124895132</v>
      </c>
      <c r="W92" s="456">
        <f t="shared" si="26"/>
        <v>727.60179064079421</v>
      </c>
      <c r="Y92" s="380" t="s">
        <v>103</v>
      </c>
      <c r="Z92" s="428" t="s">
        <v>82</v>
      </c>
      <c r="AA92" s="442">
        <f t="shared" si="28"/>
        <v>-6.4606293547331481E-2</v>
      </c>
      <c r="AB92" s="443">
        <f t="shared" si="28"/>
        <v>-6.1750164095642164E-2</v>
      </c>
      <c r="AC92" s="443">
        <f t="shared" si="28"/>
        <v>-0.1208842046056896</v>
      </c>
      <c r="AD92" s="443">
        <f t="shared" si="29"/>
        <v>-3.7803401760710634E-2</v>
      </c>
      <c r="AE92" s="443" t="e">
        <f>(#REF!-G92)/G92</f>
        <v>#REF!</v>
      </c>
      <c r="AF92" s="443">
        <f t="shared" si="28"/>
        <v>0.1474616137283844</v>
      </c>
      <c r="AG92" s="443">
        <f t="shared" si="28"/>
        <v>0.10244545450594929</v>
      </c>
      <c r="AH92" s="443">
        <f t="shared" si="28"/>
        <v>0.11977991601122676</v>
      </c>
      <c r="AI92" s="459">
        <f t="shared" si="28"/>
        <v>2.9305050522162525E-3</v>
      </c>
    </row>
    <row r="93" spans="1:35">
      <c r="C93" s="433"/>
      <c r="D93" s="433"/>
      <c r="E93" s="470"/>
      <c r="F93" s="433"/>
      <c r="G93" s="433"/>
      <c r="H93" s="433"/>
      <c r="I93" s="433"/>
      <c r="J93" s="433"/>
      <c r="K93" s="433"/>
    </row>
  </sheetData>
  <mergeCells count="19">
    <mergeCell ref="C68:K68"/>
    <mergeCell ref="O67:Q68"/>
    <mergeCell ref="R67:R68"/>
    <mergeCell ref="S67:V68"/>
    <mergeCell ref="AA67:AC68"/>
    <mergeCell ref="AD67:AD68"/>
    <mergeCell ref="AE67:AH68"/>
    <mergeCell ref="O38:Q39"/>
    <mergeCell ref="R38:R39"/>
    <mergeCell ref="S38:V39"/>
    <mergeCell ref="AA38:AC39"/>
    <mergeCell ref="AD38:AD39"/>
    <mergeCell ref="AE38:AH39"/>
    <mergeCell ref="C9:F10"/>
    <mergeCell ref="G9:G10"/>
    <mergeCell ref="H9:J10"/>
    <mergeCell ref="K9:K11"/>
    <mergeCell ref="C38:F39"/>
    <mergeCell ref="G38:J39"/>
  </mergeCells>
  <dataValidations count="1">
    <dataValidation type="list" allowBlank="1" showInputMessage="1" showErrorMessage="1" sqref="B1">
      <formula1>B927:B932</formula1>
    </dataValidation>
  </dataValidations>
  <pageMargins left="0.70866141732283472" right="0.70866141732283472" top="0.74803149606299213" bottom="0.74803149606299213" header="0.31496062992125984" footer="0.31496062992125984"/>
  <pageSetup paperSize="8" scale="39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C83"/>
  <sheetViews>
    <sheetView topLeftCell="A52" zoomScale="70" zoomScaleNormal="70" workbookViewId="0">
      <selection activeCell="K83" sqref="K83"/>
    </sheetView>
  </sheetViews>
  <sheetFormatPr defaultRowHeight="12.75"/>
  <cols>
    <col min="1" max="1" width="65.140625" customWidth="1"/>
    <col min="2" max="5" width="15" customWidth="1"/>
    <col min="6" max="6" width="18.85546875" customWidth="1"/>
    <col min="7" max="9" width="15" customWidth="1"/>
    <col min="11" max="11" width="30.42578125" customWidth="1"/>
    <col min="12" max="14" width="13.140625" bestFit="1" customWidth="1"/>
    <col min="15" max="15" width="15.28515625" customWidth="1"/>
    <col min="16" max="19" width="13.140625" bestFit="1" customWidth="1"/>
    <col min="21" max="21" width="31" customWidth="1"/>
    <col min="22" max="29" width="11.28515625" customWidth="1"/>
  </cols>
  <sheetData>
    <row r="1" spans="1:29" s="3" customFormat="1" ht="24.75">
      <c r="A1" s="1" t="s">
        <v>254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24.75">
      <c r="A2" s="1" t="s">
        <v>255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s="3" customFormat="1" ht="24.75">
      <c r="A3" s="1" t="s">
        <v>256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s="5" customFormat="1">
      <c r="D4" s="6"/>
      <c r="O4" s="6"/>
    </row>
    <row r="5" spans="1:29" s="5" customFormat="1" ht="15">
      <c r="A5" s="471" t="s">
        <v>112</v>
      </c>
      <c r="D5" s="6"/>
      <c r="O5" s="6"/>
    </row>
    <row r="6" spans="1:29" s="5" customFormat="1">
      <c r="D6" s="6"/>
      <c r="O6" s="6"/>
    </row>
    <row r="7" spans="1:29" s="5" customFormat="1" ht="15.75">
      <c r="A7" s="6" t="s">
        <v>113</v>
      </c>
      <c r="D7" s="6"/>
      <c r="F7" s="472"/>
      <c r="O7" s="6"/>
    </row>
    <row r="8" spans="1:29" s="5" customFormat="1">
      <c r="D8" s="6"/>
      <c r="O8" s="6"/>
    </row>
    <row r="9" spans="1:29" s="5" customFormat="1" ht="12.75" customHeight="1">
      <c r="A9" s="8"/>
      <c r="B9" s="306" t="s">
        <v>2</v>
      </c>
      <c r="C9" s="307"/>
      <c r="D9" s="307"/>
      <c r="E9" s="308"/>
      <c r="F9" s="309" t="s">
        <v>3</v>
      </c>
      <c r="G9" s="310" t="s">
        <v>4</v>
      </c>
      <c r="H9" s="310"/>
      <c r="I9" s="311"/>
      <c r="O9" s="6"/>
    </row>
    <row r="10" spans="1:29" s="5" customFormat="1">
      <c r="A10" s="473"/>
      <c r="B10" s="314"/>
      <c r="C10" s="315"/>
      <c r="D10" s="315"/>
      <c r="E10" s="316"/>
      <c r="F10" s="317"/>
      <c r="G10" s="318"/>
      <c r="H10" s="318"/>
      <c r="I10" s="319"/>
      <c r="O10" s="6"/>
    </row>
    <row r="11" spans="1:29" s="5" customFormat="1">
      <c r="A11" s="474"/>
      <c r="B11" s="322">
        <v>2014</v>
      </c>
      <c r="C11" s="323">
        <v>2015</v>
      </c>
      <c r="D11" s="323">
        <v>2016</v>
      </c>
      <c r="E11" s="323">
        <v>2017</v>
      </c>
      <c r="F11" s="323">
        <v>2018</v>
      </c>
      <c r="G11" s="323">
        <v>2019</v>
      </c>
      <c r="H11" s="323">
        <v>2020</v>
      </c>
      <c r="I11" s="323">
        <v>2021</v>
      </c>
      <c r="O11" s="6"/>
    </row>
    <row r="12" spans="1:29" s="5" customFormat="1">
      <c r="A12" s="475" t="s">
        <v>114</v>
      </c>
      <c r="B12" s="369">
        <f t="shared" ref="B12:E13" si="0">+B22</f>
        <v>347940.87344474276</v>
      </c>
      <c r="C12" s="369">
        <f t="shared" si="0"/>
        <v>304821.81800000009</v>
      </c>
      <c r="D12" s="369">
        <f t="shared" si="0"/>
        <v>263608.68830978486</v>
      </c>
      <c r="E12" s="369">
        <f>D14</f>
        <v>233715.43861132581</v>
      </c>
      <c r="F12" s="369">
        <f>E14</f>
        <v>206988.16265534866</v>
      </c>
      <c r="G12" s="369">
        <f>F14</f>
        <v>183549.58887873107</v>
      </c>
      <c r="H12" s="369">
        <f t="shared" ref="H12:I12" si="1">G14</f>
        <v>164130.39010510856</v>
      </c>
      <c r="I12" s="369">
        <f t="shared" si="1"/>
        <v>147400.9032732051</v>
      </c>
      <c r="O12" s="6"/>
    </row>
    <row r="13" spans="1:29" s="5" customFormat="1">
      <c r="A13" s="475" t="s">
        <v>115</v>
      </c>
      <c r="B13" s="369">
        <f t="shared" si="0"/>
        <v>43119.055444742698</v>
      </c>
      <c r="C13" s="369">
        <f t="shared" si="0"/>
        <v>41213.129690215217</v>
      </c>
      <c r="D13" s="369">
        <f t="shared" si="0"/>
        <v>29893.249698459062</v>
      </c>
      <c r="E13" s="369">
        <f t="shared" si="0"/>
        <v>26727.275955977155</v>
      </c>
      <c r="F13" s="476">
        <v>23438.573776617592</v>
      </c>
      <c r="G13" s="368">
        <v>19419.198773622513</v>
      </c>
      <c r="H13" s="368">
        <v>16729.486831903458</v>
      </c>
      <c r="I13" s="368">
        <v>14809.753518342972</v>
      </c>
      <c r="O13" s="6"/>
    </row>
    <row r="14" spans="1:29" s="5" customFormat="1">
      <c r="A14" s="475" t="s">
        <v>116</v>
      </c>
      <c r="B14" s="369">
        <f>B12-B13</f>
        <v>304821.81800000009</v>
      </c>
      <c r="C14" s="369">
        <f>C12-C13</f>
        <v>263608.68830978486</v>
      </c>
      <c r="D14" s="369">
        <f>D12-D13</f>
        <v>233715.43861132581</v>
      </c>
      <c r="E14" s="369">
        <f t="shared" ref="E14:I14" si="2">E12-E13</f>
        <v>206988.16265534866</v>
      </c>
      <c r="F14" s="369">
        <f t="shared" si="2"/>
        <v>183549.58887873107</v>
      </c>
      <c r="G14" s="369">
        <f t="shared" si="2"/>
        <v>164130.39010510856</v>
      </c>
      <c r="H14" s="369">
        <f t="shared" si="2"/>
        <v>147400.9032732051</v>
      </c>
      <c r="I14" s="369">
        <f t="shared" si="2"/>
        <v>132591.14975486213</v>
      </c>
      <c r="O14" s="6"/>
    </row>
    <row r="15" spans="1:29">
      <c r="A15" s="475" t="s">
        <v>117</v>
      </c>
      <c r="B15" s="369">
        <f>B13</f>
        <v>43119.055444742698</v>
      </c>
      <c r="C15" s="369">
        <f>C13+B15</f>
        <v>84332.185134957923</v>
      </c>
      <c r="D15" s="369">
        <f>D13+C15</f>
        <v>114225.43483341698</v>
      </c>
      <c r="E15" s="369">
        <f t="shared" ref="E15:I15" si="3">D15+E13</f>
        <v>140952.71078939413</v>
      </c>
      <c r="F15" s="369">
        <f t="shared" si="3"/>
        <v>164391.28456601172</v>
      </c>
      <c r="G15" s="369">
        <f t="shared" si="3"/>
        <v>183810.48333963423</v>
      </c>
      <c r="H15" s="369">
        <f t="shared" si="3"/>
        <v>200539.97017153769</v>
      </c>
      <c r="I15" s="369">
        <f t="shared" si="3"/>
        <v>215349.72368988066</v>
      </c>
    </row>
    <row r="16" spans="1:29">
      <c r="A16" s="477"/>
    </row>
    <row r="17" spans="1:29" s="5" customFormat="1" ht="28.5">
      <c r="A17" s="478" t="s">
        <v>118</v>
      </c>
      <c r="D17" s="6"/>
      <c r="F17" s="472"/>
      <c r="K17" s="6" t="s">
        <v>48</v>
      </c>
      <c r="N17" s="6"/>
      <c r="P17" s="472"/>
      <c r="U17" s="6" t="s">
        <v>49</v>
      </c>
      <c r="X17" s="6"/>
      <c r="Z17" s="472"/>
    </row>
    <row r="18" spans="1:29" s="5" customFormat="1">
      <c r="A18" s="479"/>
      <c r="D18" s="6"/>
      <c r="N18" s="6"/>
      <c r="X18" s="6"/>
    </row>
    <row r="19" spans="1:29" s="5" customFormat="1" ht="12.75" customHeight="1">
      <c r="A19" s="480"/>
      <c r="B19" s="306" t="s">
        <v>2</v>
      </c>
      <c r="C19" s="307"/>
      <c r="D19" s="307"/>
      <c r="E19" s="308"/>
      <c r="F19" s="309" t="s">
        <v>3</v>
      </c>
      <c r="G19" s="310" t="s">
        <v>4</v>
      </c>
      <c r="H19" s="310"/>
      <c r="I19" s="311"/>
      <c r="K19" s="8"/>
      <c r="L19" s="381" t="s">
        <v>2</v>
      </c>
      <c r="M19" s="307" t="s">
        <v>4</v>
      </c>
      <c r="N19" s="307"/>
      <c r="O19" s="307"/>
      <c r="P19" s="307"/>
      <c r="Q19" s="307"/>
      <c r="R19" s="307"/>
      <c r="S19" s="308"/>
      <c r="U19" s="8"/>
      <c r="V19" s="381" t="s">
        <v>2</v>
      </c>
      <c r="W19" s="307" t="s">
        <v>4</v>
      </c>
      <c r="X19" s="307"/>
      <c r="Y19" s="307"/>
      <c r="Z19" s="307"/>
      <c r="AA19" s="307"/>
      <c r="AB19" s="307"/>
      <c r="AC19" s="308"/>
    </row>
    <row r="20" spans="1:29" s="5" customFormat="1">
      <c r="A20" s="473"/>
      <c r="B20" s="314"/>
      <c r="C20" s="315"/>
      <c r="D20" s="315"/>
      <c r="E20" s="316"/>
      <c r="F20" s="317"/>
      <c r="G20" s="318"/>
      <c r="H20" s="318"/>
      <c r="I20" s="319"/>
      <c r="K20" s="17"/>
      <c r="L20" s="381"/>
      <c r="M20" s="315"/>
      <c r="N20" s="315"/>
      <c r="O20" s="315"/>
      <c r="P20" s="315"/>
      <c r="Q20" s="315"/>
      <c r="R20" s="315"/>
      <c r="S20" s="316"/>
      <c r="U20" s="17"/>
      <c r="V20" s="381"/>
      <c r="W20" s="315"/>
      <c r="X20" s="315"/>
      <c r="Y20" s="315"/>
      <c r="Z20" s="315"/>
      <c r="AA20" s="315"/>
      <c r="AB20" s="315"/>
      <c r="AC20" s="316"/>
    </row>
    <row r="21" spans="1:29" s="5" customFormat="1">
      <c r="A21" s="474"/>
      <c r="B21" s="322">
        <v>2014</v>
      </c>
      <c r="C21" s="389">
        <v>2015</v>
      </c>
      <c r="D21" s="389">
        <v>2016</v>
      </c>
      <c r="E21" s="390">
        <v>2017</v>
      </c>
      <c r="F21" s="389">
        <v>2018</v>
      </c>
      <c r="G21" s="390">
        <v>2019</v>
      </c>
      <c r="H21" s="389">
        <v>2020</v>
      </c>
      <c r="I21" s="391">
        <v>2021</v>
      </c>
      <c r="K21" s="26"/>
      <c r="L21" s="322">
        <v>2014</v>
      </c>
      <c r="M21" s="389">
        <v>2015</v>
      </c>
      <c r="N21" s="389">
        <v>2016</v>
      </c>
      <c r="O21" s="390">
        <v>2017</v>
      </c>
      <c r="P21" s="389">
        <v>2018</v>
      </c>
      <c r="Q21" s="390">
        <v>2019</v>
      </c>
      <c r="R21" s="389">
        <v>2020</v>
      </c>
      <c r="S21" s="391">
        <v>2021</v>
      </c>
      <c r="U21" s="26"/>
      <c r="V21" s="322">
        <v>2014</v>
      </c>
      <c r="W21" s="389">
        <v>2015</v>
      </c>
      <c r="X21" s="389">
        <v>2016</v>
      </c>
      <c r="Y21" s="390">
        <v>2017</v>
      </c>
      <c r="Z21" s="389">
        <v>2018</v>
      </c>
      <c r="AA21" s="390">
        <v>2019</v>
      </c>
      <c r="AB21" s="389">
        <v>2020</v>
      </c>
      <c r="AC21" s="391">
        <v>2021</v>
      </c>
    </row>
    <row r="22" spans="1:29" s="5" customFormat="1">
      <c r="A22" s="475" t="s">
        <v>114</v>
      </c>
      <c r="B22" s="369">
        <v>347940.87344474276</v>
      </c>
      <c r="C22" s="369">
        <v>304821.81800000009</v>
      </c>
      <c r="D22" s="369">
        <v>263608.68830978486</v>
      </c>
      <c r="E22" s="369">
        <v>233715.43861132581</v>
      </c>
      <c r="F22" s="369">
        <v>206988.16265534866</v>
      </c>
      <c r="G22" s="369">
        <v>185662.16265534866</v>
      </c>
      <c r="H22" s="369">
        <v>167890.16265534866</v>
      </c>
      <c r="I22" s="369">
        <v>152211.16265534866</v>
      </c>
      <c r="K22" s="481"/>
      <c r="L22" s="369"/>
      <c r="M22" s="369"/>
      <c r="N22" s="369"/>
      <c r="O22" s="369"/>
      <c r="P22" s="369"/>
      <c r="Q22" s="369"/>
      <c r="R22" s="369"/>
      <c r="S22" s="369"/>
      <c r="U22" s="481"/>
      <c r="V22" s="369"/>
      <c r="W22" s="369"/>
      <c r="X22" s="369"/>
      <c r="Y22" s="369"/>
      <c r="Z22" s="369"/>
      <c r="AA22" s="369"/>
      <c r="AB22" s="369"/>
      <c r="AC22" s="369"/>
    </row>
    <row r="23" spans="1:29" s="5" customFormat="1">
      <c r="A23" s="475" t="s">
        <v>115</v>
      </c>
      <c r="B23" s="369">
        <v>43119.055444742698</v>
      </c>
      <c r="C23" s="369">
        <v>41213.129690215217</v>
      </c>
      <c r="D23" s="369">
        <v>29893.249698459062</v>
      </c>
      <c r="E23" s="369">
        <v>26727.275955977155</v>
      </c>
      <c r="F23" s="369">
        <v>21326</v>
      </c>
      <c r="G23" s="369">
        <v>17772</v>
      </c>
      <c r="H23" s="369">
        <v>15679</v>
      </c>
      <c r="I23" s="369">
        <v>14656</v>
      </c>
      <c r="K23" s="481" t="s">
        <v>115</v>
      </c>
      <c r="L23" s="369">
        <f t="shared" ref="L23:S23" si="4">B13-B23</f>
        <v>0</v>
      </c>
      <c r="M23" s="369">
        <f t="shared" si="4"/>
        <v>0</v>
      </c>
      <c r="N23" s="369">
        <f t="shared" si="4"/>
        <v>0</v>
      </c>
      <c r="O23" s="369">
        <f t="shared" si="4"/>
        <v>0</v>
      </c>
      <c r="P23" s="369">
        <f t="shared" si="4"/>
        <v>2112.5737766175916</v>
      </c>
      <c r="Q23" s="369">
        <f t="shared" si="4"/>
        <v>1647.1987736225128</v>
      </c>
      <c r="R23" s="369">
        <f t="shared" si="4"/>
        <v>1050.4868319034576</v>
      </c>
      <c r="S23" s="369">
        <f t="shared" si="4"/>
        <v>153.7535183429718</v>
      </c>
      <c r="U23" s="481" t="s">
        <v>115</v>
      </c>
      <c r="V23" s="482">
        <f t="shared" ref="V23:AC23" si="5">(B13-B23)/B23</f>
        <v>0</v>
      </c>
      <c r="W23" s="482">
        <f t="shared" si="5"/>
        <v>0</v>
      </c>
      <c r="X23" s="482">
        <f t="shared" si="5"/>
        <v>0</v>
      </c>
      <c r="Y23" s="482">
        <f t="shared" si="5"/>
        <v>0</v>
      </c>
      <c r="Z23" s="482">
        <f t="shared" si="5"/>
        <v>9.9060947979817668E-2</v>
      </c>
      <c r="AA23" s="482">
        <f t="shared" si="5"/>
        <v>9.2685053658705427E-2</v>
      </c>
      <c r="AB23" s="482">
        <f t="shared" si="5"/>
        <v>6.699960660140683E-2</v>
      </c>
      <c r="AC23" s="482">
        <f t="shared" si="5"/>
        <v>1.0490824122746439E-2</v>
      </c>
    </row>
    <row r="24" spans="1:29" s="5" customFormat="1">
      <c r="A24" s="475" t="s">
        <v>116</v>
      </c>
      <c r="B24" s="369">
        <f>B22-B23</f>
        <v>304821.81800000009</v>
      </c>
      <c r="C24" s="369">
        <f t="shared" ref="C24:I24" si="6">C22-C23</f>
        <v>263608.68830978486</v>
      </c>
      <c r="D24" s="369">
        <f t="shared" si="6"/>
        <v>233715.43861132581</v>
      </c>
      <c r="E24" s="369">
        <f t="shared" si="6"/>
        <v>206988.16265534866</v>
      </c>
      <c r="F24" s="369">
        <f t="shared" si="6"/>
        <v>185662.16265534866</v>
      </c>
      <c r="G24" s="369">
        <f t="shared" si="6"/>
        <v>167890.16265534866</v>
      </c>
      <c r="H24" s="369">
        <f t="shared" si="6"/>
        <v>152211.16265534866</v>
      </c>
      <c r="I24" s="369">
        <f t="shared" si="6"/>
        <v>137555.16265534866</v>
      </c>
      <c r="K24" s="481"/>
      <c r="L24" s="369"/>
      <c r="M24" s="369"/>
      <c r="N24" s="369"/>
      <c r="O24" s="369"/>
      <c r="P24" s="369"/>
      <c r="Q24" s="369"/>
      <c r="R24" s="369"/>
      <c r="S24" s="369"/>
      <c r="U24" s="481"/>
      <c r="V24" s="369"/>
      <c r="W24" s="369"/>
      <c r="X24" s="369"/>
      <c r="Y24" s="369"/>
      <c r="Z24" s="369"/>
      <c r="AA24" s="369"/>
      <c r="AB24" s="369"/>
      <c r="AC24" s="369"/>
    </row>
    <row r="25" spans="1:29">
      <c r="A25" s="475" t="s">
        <v>117</v>
      </c>
      <c r="B25" s="369">
        <f>B23</f>
        <v>43119.055444742698</v>
      </c>
      <c r="C25" s="369">
        <f>B25+C23</f>
        <v>84332.185134957923</v>
      </c>
      <c r="D25" s="369">
        <f t="shared" ref="D25:I25" si="7">C25+D23</f>
        <v>114225.43483341698</v>
      </c>
      <c r="E25" s="369">
        <f t="shared" si="7"/>
        <v>140952.71078939413</v>
      </c>
      <c r="F25" s="369">
        <f t="shared" si="7"/>
        <v>162278.71078939413</v>
      </c>
      <c r="G25" s="369">
        <f t="shared" si="7"/>
        <v>180050.71078939413</v>
      </c>
      <c r="H25" s="369">
        <f t="shared" si="7"/>
        <v>195729.71078939413</v>
      </c>
      <c r="I25" s="369">
        <f t="shared" si="7"/>
        <v>210385.71078939413</v>
      </c>
      <c r="K25" s="481" t="s">
        <v>117</v>
      </c>
      <c r="L25" s="369">
        <f t="shared" ref="L25:S25" si="8">B15-B25</f>
        <v>0</v>
      </c>
      <c r="M25" s="369">
        <f t="shared" si="8"/>
        <v>0</v>
      </c>
      <c r="N25" s="369">
        <f t="shared" si="8"/>
        <v>0</v>
      </c>
      <c r="O25" s="369">
        <f t="shared" si="8"/>
        <v>0</v>
      </c>
      <c r="P25" s="369">
        <f t="shared" si="8"/>
        <v>2112.573776617588</v>
      </c>
      <c r="Q25" s="369">
        <f t="shared" si="8"/>
        <v>3759.7725502401008</v>
      </c>
      <c r="R25" s="369">
        <f t="shared" si="8"/>
        <v>4810.2593821435585</v>
      </c>
      <c r="S25" s="369">
        <f t="shared" si="8"/>
        <v>4964.0129004865303</v>
      </c>
      <c r="U25" s="481" t="s">
        <v>117</v>
      </c>
      <c r="V25" s="482">
        <f t="shared" ref="V25:AC25" si="9">(B15-B25)/B25</f>
        <v>0</v>
      </c>
      <c r="W25" s="482">
        <f t="shared" si="9"/>
        <v>0</v>
      </c>
      <c r="X25" s="482">
        <f t="shared" si="9"/>
        <v>0</v>
      </c>
      <c r="Y25" s="482">
        <f t="shared" si="9"/>
        <v>0</v>
      </c>
      <c r="Z25" s="482">
        <f t="shared" si="9"/>
        <v>1.3018181906555159E-2</v>
      </c>
      <c r="AA25" s="482">
        <f t="shared" si="9"/>
        <v>2.0881742336679349E-2</v>
      </c>
      <c r="AB25" s="482">
        <f t="shared" si="9"/>
        <v>2.4576030704502573E-2</v>
      </c>
      <c r="AC25" s="482">
        <f t="shared" si="9"/>
        <v>2.3594819637992134E-2</v>
      </c>
    </row>
    <row r="26" spans="1:29">
      <c r="A26" s="477"/>
    </row>
    <row r="27" spans="1:29" s="5" customFormat="1" ht="28.5">
      <c r="A27" s="478" t="s">
        <v>119</v>
      </c>
      <c r="D27" s="6"/>
      <c r="F27" s="472"/>
      <c r="K27" s="6" t="s">
        <v>108</v>
      </c>
      <c r="N27" s="6"/>
      <c r="P27" s="472"/>
      <c r="U27" s="6" t="s">
        <v>109</v>
      </c>
      <c r="X27" s="6"/>
      <c r="Z27" s="472"/>
    </row>
    <row r="28" spans="1:29" s="5" customFormat="1">
      <c r="A28" s="479"/>
      <c r="D28" s="6"/>
      <c r="N28" s="6"/>
      <c r="X28" s="6"/>
    </row>
    <row r="29" spans="1:29" s="5" customFormat="1" ht="38.25">
      <c r="A29" s="478"/>
      <c r="B29" s="483" t="s">
        <v>107</v>
      </c>
      <c r="H29" s="6"/>
      <c r="K29" s="6"/>
      <c r="L29" s="483" t="s">
        <v>107</v>
      </c>
      <c r="R29" s="6"/>
      <c r="U29" s="6"/>
      <c r="V29" s="483" t="s">
        <v>107</v>
      </c>
      <c r="AB29" s="6"/>
    </row>
    <row r="30" spans="1:29" s="5" customFormat="1">
      <c r="A30" s="475" t="s">
        <v>115</v>
      </c>
      <c r="B30" s="369">
        <v>111191</v>
      </c>
      <c r="H30" s="6"/>
      <c r="K30" s="481" t="s">
        <v>115</v>
      </c>
      <c r="L30" s="369">
        <f>I15-B30</f>
        <v>104158.72368988066</v>
      </c>
      <c r="R30" s="6"/>
      <c r="U30" s="481" t="s">
        <v>115</v>
      </c>
      <c r="V30" s="482">
        <f>(B20-B30)/B30</f>
        <v>-1</v>
      </c>
      <c r="AB30" s="6"/>
    </row>
    <row r="31" spans="1:29">
      <c r="A31" s="477"/>
    </row>
    <row r="32" spans="1:29">
      <c r="A32" s="477"/>
    </row>
    <row r="33" spans="1:29" s="5" customFormat="1" ht="15.75">
      <c r="A33" s="478" t="s">
        <v>120</v>
      </c>
      <c r="D33" s="6"/>
      <c r="F33" s="472"/>
      <c r="O33" s="6"/>
    </row>
    <row r="34" spans="1:29" s="5" customFormat="1">
      <c r="A34" s="479"/>
      <c r="D34" s="6"/>
      <c r="O34" s="6"/>
    </row>
    <row r="35" spans="1:29" s="5" customFormat="1" ht="12.75" customHeight="1">
      <c r="A35" s="480"/>
      <c r="B35" s="306" t="s">
        <v>2</v>
      </c>
      <c r="C35" s="307"/>
      <c r="D35" s="307"/>
      <c r="E35" s="308"/>
      <c r="F35" s="309" t="s">
        <v>3</v>
      </c>
      <c r="G35" s="382" t="s">
        <v>4</v>
      </c>
      <c r="H35" s="310"/>
      <c r="I35" s="311"/>
      <c r="O35" s="6"/>
    </row>
    <row r="36" spans="1:29" s="5" customFormat="1" ht="12.4" customHeight="1">
      <c r="A36" s="473"/>
      <c r="B36" s="314"/>
      <c r="C36" s="315"/>
      <c r="D36" s="315"/>
      <c r="E36" s="316"/>
      <c r="F36" s="317"/>
      <c r="G36" s="385"/>
      <c r="H36" s="318"/>
      <c r="I36" s="319"/>
      <c r="O36" s="6"/>
    </row>
    <row r="37" spans="1:29" s="5" customFormat="1">
      <c r="A37" s="474"/>
      <c r="B37" s="322">
        <v>2014</v>
      </c>
      <c r="C37" s="389">
        <v>2015</v>
      </c>
      <c r="D37" s="389">
        <v>2016</v>
      </c>
      <c r="E37" s="390">
        <v>2017</v>
      </c>
      <c r="F37" s="389">
        <v>2018</v>
      </c>
      <c r="G37" s="390">
        <v>2019</v>
      </c>
      <c r="H37" s="389">
        <v>2020</v>
      </c>
      <c r="I37" s="391">
        <v>2021</v>
      </c>
      <c r="O37" s="6"/>
    </row>
    <row r="38" spans="1:29" s="5" customFormat="1">
      <c r="A38" s="475" t="s">
        <v>121</v>
      </c>
      <c r="B38" s="484">
        <v>34495899</v>
      </c>
      <c r="C38" s="485"/>
      <c r="D38" s="485"/>
      <c r="E38" s="485"/>
      <c r="F38" s="485"/>
      <c r="G38" s="485"/>
      <c r="H38" s="485"/>
      <c r="I38" s="485"/>
      <c r="O38" s="6"/>
    </row>
    <row r="39" spans="1:29" s="5" customFormat="1">
      <c r="A39" s="475" t="s">
        <v>122</v>
      </c>
      <c r="B39" s="484">
        <f>B47</f>
        <v>34357029</v>
      </c>
      <c r="C39" s="484">
        <f t="shared" ref="C39:E39" si="10">C47</f>
        <v>24800000</v>
      </c>
      <c r="D39" s="484">
        <f t="shared" si="10"/>
        <v>18601358</v>
      </c>
      <c r="E39" s="484">
        <f t="shared" si="10"/>
        <v>17396752.574997913</v>
      </c>
      <c r="F39" s="484">
        <v>19330000</v>
      </c>
      <c r="G39" s="368">
        <v>25400000</v>
      </c>
      <c r="H39" s="368">
        <v>24799999.999999996</v>
      </c>
      <c r="I39" s="368">
        <v>24300000</v>
      </c>
      <c r="O39" s="6"/>
    </row>
    <row r="40" spans="1:29" s="5" customFormat="1">
      <c r="A40" s="475" t="s">
        <v>123</v>
      </c>
      <c r="B40" s="484">
        <f>B38-B39</f>
        <v>138870</v>
      </c>
      <c r="C40" s="484">
        <f>$B$38-C39</f>
        <v>9695899</v>
      </c>
      <c r="D40" s="484">
        <f>$B$38-D39</f>
        <v>15894541</v>
      </c>
      <c r="E40" s="484">
        <f t="shared" ref="E40:I40" si="11">$B$38-E39</f>
        <v>17099146.425002087</v>
      </c>
      <c r="F40" s="484">
        <f t="shared" si="11"/>
        <v>15165899</v>
      </c>
      <c r="G40" s="484">
        <f t="shared" si="11"/>
        <v>9095899</v>
      </c>
      <c r="H40" s="484">
        <f t="shared" si="11"/>
        <v>9695899.0000000037</v>
      </c>
      <c r="I40" s="484">
        <f t="shared" si="11"/>
        <v>10195899</v>
      </c>
      <c r="O40" s="6"/>
    </row>
    <row r="41" spans="1:29">
      <c r="A41" s="477"/>
    </row>
    <row r="42" spans="1:29" s="5" customFormat="1" ht="15.75">
      <c r="A42" s="478" t="s">
        <v>124</v>
      </c>
      <c r="D42" s="6"/>
      <c r="F42" s="472"/>
      <c r="K42" s="6" t="s">
        <v>125</v>
      </c>
      <c r="N42" s="6"/>
      <c r="P42" s="472"/>
      <c r="U42" s="6" t="s">
        <v>49</v>
      </c>
      <c r="X42" s="6"/>
      <c r="Z42" s="472"/>
    </row>
    <row r="43" spans="1:29" s="5" customFormat="1">
      <c r="A43" s="479"/>
      <c r="D43" s="6"/>
      <c r="N43" s="6"/>
      <c r="X43" s="6"/>
    </row>
    <row r="44" spans="1:29" s="5" customFormat="1" ht="12.75" customHeight="1">
      <c r="A44" s="480"/>
      <c r="B44" s="306" t="s">
        <v>2</v>
      </c>
      <c r="C44" s="307"/>
      <c r="D44" s="307"/>
      <c r="E44" s="308"/>
      <c r="F44" s="309" t="s">
        <v>3</v>
      </c>
      <c r="G44" s="382" t="s">
        <v>4</v>
      </c>
      <c r="H44" s="310"/>
      <c r="I44" s="311"/>
      <c r="K44" s="8"/>
      <c r="L44" s="306" t="s">
        <v>2</v>
      </c>
      <c r="M44" s="307"/>
      <c r="N44" s="308"/>
      <c r="O44" s="309" t="s">
        <v>3</v>
      </c>
      <c r="P44" s="310" t="s">
        <v>4</v>
      </c>
      <c r="Q44" s="310"/>
      <c r="R44" s="310"/>
      <c r="S44" s="311"/>
      <c r="U44" s="8"/>
      <c r="V44" s="381" t="s">
        <v>2</v>
      </c>
      <c r="W44" s="307" t="s">
        <v>4</v>
      </c>
      <c r="X44" s="307"/>
      <c r="Y44" s="307"/>
      <c r="Z44" s="307"/>
      <c r="AA44" s="307"/>
      <c r="AB44" s="307"/>
      <c r="AC44" s="308"/>
    </row>
    <row r="45" spans="1:29" s="5" customFormat="1">
      <c r="A45" s="473"/>
      <c r="B45" s="314"/>
      <c r="C45" s="315"/>
      <c r="D45" s="315"/>
      <c r="E45" s="316"/>
      <c r="F45" s="317"/>
      <c r="G45" s="385"/>
      <c r="H45" s="318"/>
      <c r="I45" s="319"/>
      <c r="K45" s="17"/>
      <c r="L45" s="314"/>
      <c r="M45" s="315"/>
      <c r="N45" s="316"/>
      <c r="O45" s="317"/>
      <c r="P45" s="318"/>
      <c r="Q45" s="318"/>
      <c r="R45" s="318"/>
      <c r="S45" s="319"/>
      <c r="U45" s="17"/>
      <c r="V45" s="381"/>
      <c r="W45" s="315"/>
      <c r="X45" s="315"/>
      <c r="Y45" s="315"/>
      <c r="Z45" s="315"/>
      <c r="AA45" s="315"/>
      <c r="AB45" s="315"/>
      <c r="AC45" s="316"/>
    </row>
    <row r="46" spans="1:29" s="5" customFormat="1">
      <c r="A46" s="474"/>
      <c r="B46" s="322">
        <v>2014</v>
      </c>
      <c r="C46" s="389">
        <v>2015</v>
      </c>
      <c r="D46" s="389">
        <v>2016</v>
      </c>
      <c r="E46" s="390">
        <v>2017</v>
      </c>
      <c r="F46" s="389">
        <v>2018</v>
      </c>
      <c r="G46" s="390">
        <v>2019</v>
      </c>
      <c r="H46" s="389">
        <v>2020</v>
      </c>
      <c r="I46" s="391">
        <v>2021</v>
      </c>
      <c r="K46" s="26"/>
      <c r="L46" s="322">
        <v>2014</v>
      </c>
      <c r="M46" s="389">
        <v>2015</v>
      </c>
      <c r="N46" s="389">
        <v>2016</v>
      </c>
      <c r="O46" s="390">
        <v>2017</v>
      </c>
      <c r="P46" s="389">
        <v>2018</v>
      </c>
      <c r="Q46" s="390">
        <v>2019</v>
      </c>
      <c r="R46" s="389">
        <v>2020</v>
      </c>
      <c r="S46" s="391">
        <v>2021</v>
      </c>
      <c r="U46" s="26"/>
      <c r="V46" s="322">
        <v>2014</v>
      </c>
      <c r="W46" s="389">
        <v>2015</v>
      </c>
      <c r="X46" s="389">
        <v>2016</v>
      </c>
      <c r="Y46" s="390">
        <v>2017</v>
      </c>
      <c r="Z46" s="389">
        <v>2018</v>
      </c>
      <c r="AA46" s="390">
        <v>2019</v>
      </c>
      <c r="AB46" s="389">
        <v>2020</v>
      </c>
      <c r="AC46" s="391">
        <v>2021</v>
      </c>
    </row>
    <row r="47" spans="1:29" s="5" customFormat="1">
      <c r="A47" s="475" t="s">
        <v>122</v>
      </c>
      <c r="B47" s="486">
        <v>34357029</v>
      </c>
      <c r="C47" s="486">
        <v>24800000</v>
      </c>
      <c r="D47" s="486">
        <v>18601358</v>
      </c>
      <c r="E47" s="486">
        <v>17396752.574997913</v>
      </c>
      <c r="F47" s="486">
        <v>26000000</v>
      </c>
      <c r="G47" s="486">
        <v>25400000</v>
      </c>
      <c r="H47" s="486">
        <v>24799999.999999996</v>
      </c>
      <c r="I47" s="486">
        <v>24300000</v>
      </c>
      <c r="K47" s="481" t="s">
        <v>122</v>
      </c>
      <c r="L47" s="369">
        <f t="shared" ref="L47:S48" si="12">B39-B47</f>
        <v>0</v>
      </c>
      <c r="M47" s="369">
        <f t="shared" si="12"/>
        <v>0</v>
      </c>
      <c r="N47" s="369">
        <f t="shared" si="12"/>
        <v>0</v>
      </c>
      <c r="O47" s="369">
        <f t="shared" si="12"/>
        <v>0</v>
      </c>
      <c r="P47" s="369">
        <f t="shared" si="12"/>
        <v>-6670000</v>
      </c>
      <c r="Q47" s="369">
        <f t="shared" si="12"/>
        <v>0</v>
      </c>
      <c r="R47" s="369">
        <f t="shared" si="12"/>
        <v>0</v>
      </c>
      <c r="S47" s="369">
        <f t="shared" si="12"/>
        <v>0</v>
      </c>
      <c r="U47" s="481" t="s">
        <v>126</v>
      </c>
      <c r="V47" s="482">
        <f t="shared" ref="V47:AC47" si="13">(B39-B47)/B47</f>
        <v>0</v>
      </c>
      <c r="W47" s="482">
        <f t="shared" si="13"/>
        <v>0</v>
      </c>
      <c r="X47" s="482">
        <f t="shared" si="13"/>
        <v>0</v>
      </c>
      <c r="Y47" s="482">
        <f t="shared" si="13"/>
        <v>0</v>
      </c>
      <c r="Z47" s="482">
        <f t="shared" si="13"/>
        <v>-0.25653846153846155</v>
      </c>
      <c r="AA47" s="482">
        <f t="shared" si="13"/>
        <v>0</v>
      </c>
      <c r="AB47" s="482">
        <f t="shared" si="13"/>
        <v>0</v>
      </c>
      <c r="AC47" s="482">
        <f t="shared" si="13"/>
        <v>0</v>
      </c>
    </row>
    <row r="48" spans="1:29" s="5" customFormat="1">
      <c r="A48" s="475" t="s">
        <v>123</v>
      </c>
      <c r="B48" s="486">
        <v>138870</v>
      </c>
      <c r="C48" s="486">
        <v>9695899</v>
      </c>
      <c r="D48" s="486">
        <v>15894541</v>
      </c>
      <c r="E48" s="486">
        <v>17099146.425002087</v>
      </c>
      <c r="F48" s="486">
        <v>8495899</v>
      </c>
      <c r="G48" s="486">
        <v>9095899</v>
      </c>
      <c r="H48" s="486">
        <v>9695899.0000000037</v>
      </c>
      <c r="I48" s="486">
        <v>10195899</v>
      </c>
      <c r="K48" s="481" t="s">
        <v>123</v>
      </c>
      <c r="L48" s="369">
        <f t="shared" si="12"/>
        <v>0</v>
      </c>
      <c r="M48" s="369">
        <f t="shared" si="12"/>
        <v>0</v>
      </c>
      <c r="N48" s="369">
        <f t="shared" si="12"/>
        <v>0</v>
      </c>
      <c r="O48" s="369">
        <f t="shared" si="12"/>
        <v>0</v>
      </c>
      <c r="P48" s="369">
        <f t="shared" si="12"/>
        <v>6670000</v>
      </c>
      <c r="Q48" s="369">
        <f t="shared" si="12"/>
        <v>0</v>
      </c>
      <c r="R48" s="369">
        <f t="shared" si="12"/>
        <v>0</v>
      </c>
      <c r="S48" s="369">
        <f t="shared" si="12"/>
        <v>0</v>
      </c>
      <c r="U48" s="481"/>
      <c r="V48" s="369"/>
      <c r="W48" s="369"/>
      <c r="X48" s="369"/>
      <c r="Y48" s="369"/>
      <c r="Z48" s="369"/>
      <c r="AA48" s="369"/>
      <c r="AB48" s="369"/>
      <c r="AC48" s="369"/>
    </row>
    <row r="49" spans="1:9">
      <c r="A49" s="477"/>
    </row>
    <row r="50" spans="1:9">
      <c r="A50" s="477"/>
    </row>
    <row r="51" spans="1:9" ht="12.75" customHeight="1">
      <c r="A51" s="478" t="s">
        <v>127</v>
      </c>
      <c r="B51" s="306" t="s">
        <v>2</v>
      </c>
      <c r="C51" s="307"/>
      <c r="D51" s="307"/>
      <c r="E51" s="308"/>
      <c r="F51" s="309" t="s">
        <v>3</v>
      </c>
      <c r="G51" s="382" t="s">
        <v>4</v>
      </c>
      <c r="H51" s="310"/>
      <c r="I51" s="311"/>
    </row>
    <row r="52" spans="1:9">
      <c r="A52" s="477"/>
      <c r="B52" s="314"/>
      <c r="C52" s="315"/>
      <c r="D52" s="315"/>
      <c r="E52" s="316"/>
      <c r="F52" s="317"/>
      <c r="G52" s="385"/>
      <c r="H52" s="318"/>
      <c r="I52" s="319"/>
    </row>
    <row r="53" spans="1:9">
      <c r="A53" s="487"/>
      <c r="B53" s="488">
        <v>2014</v>
      </c>
      <c r="C53" s="489">
        <v>2015</v>
      </c>
      <c r="D53" s="489">
        <v>2016</v>
      </c>
      <c r="E53" s="490">
        <v>2017</v>
      </c>
      <c r="F53" s="489">
        <v>2018</v>
      </c>
      <c r="G53" s="490">
        <v>2019</v>
      </c>
      <c r="H53" s="489">
        <v>2020</v>
      </c>
      <c r="I53" s="491">
        <v>2021</v>
      </c>
    </row>
    <row r="54" spans="1:9">
      <c r="A54" s="492" t="s">
        <v>128</v>
      </c>
      <c r="B54" s="369">
        <v>89290</v>
      </c>
      <c r="C54" s="369">
        <v>83446</v>
      </c>
      <c r="D54" s="369">
        <v>93411</v>
      </c>
      <c r="E54" s="369">
        <v>90016</v>
      </c>
      <c r="F54" s="493">
        <v>90224</v>
      </c>
      <c r="G54" s="494"/>
      <c r="H54" s="494"/>
      <c r="I54" s="494"/>
    </row>
    <row r="55" spans="1:9">
      <c r="A55" s="495"/>
      <c r="B55" s="494"/>
      <c r="C55" s="494"/>
      <c r="D55" s="494"/>
      <c r="E55" s="494"/>
      <c r="F55" s="494"/>
      <c r="G55" s="494"/>
      <c r="H55" s="494"/>
      <c r="I55" s="494"/>
    </row>
    <row r="56" spans="1:9">
      <c r="A56" s="496" t="s">
        <v>129</v>
      </c>
      <c r="B56" s="497"/>
      <c r="C56" s="497"/>
      <c r="D56" s="497"/>
      <c r="E56" s="497"/>
      <c r="F56" s="497"/>
      <c r="G56" s="497"/>
      <c r="H56" s="497"/>
      <c r="I56" s="497"/>
    </row>
    <row r="57" spans="1:9" ht="25.5">
      <c r="A57" s="498" t="s">
        <v>130</v>
      </c>
      <c r="B57" s="369">
        <v>28798</v>
      </c>
      <c r="C57" s="369">
        <v>26936</v>
      </c>
      <c r="D57" s="369">
        <v>27498</v>
      </c>
      <c r="E57" s="369">
        <v>27607</v>
      </c>
      <c r="F57" s="369">
        <v>27163</v>
      </c>
      <c r="G57" s="497"/>
      <c r="H57" s="497"/>
      <c r="I57" s="497"/>
    </row>
    <row r="58" spans="1:9">
      <c r="A58" s="498" t="s">
        <v>131</v>
      </c>
      <c r="B58" s="369">
        <v>28789</v>
      </c>
      <c r="C58" s="369">
        <v>26933</v>
      </c>
      <c r="D58" s="369">
        <v>27487</v>
      </c>
      <c r="E58" s="369">
        <v>27600</v>
      </c>
      <c r="F58" s="369">
        <v>27088</v>
      </c>
      <c r="G58" s="499"/>
      <c r="H58" s="499"/>
      <c r="I58" s="499"/>
    </row>
    <row r="59" spans="1:9" ht="25.5">
      <c r="A59" s="500" t="s">
        <v>132</v>
      </c>
      <c r="B59" s="501">
        <v>0.99968747829710392</v>
      </c>
      <c r="C59" s="501">
        <v>0.99988862488862484</v>
      </c>
      <c r="D59" s="501">
        <v>0.99959997090697505</v>
      </c>
      <c r="E59" s="501">
        <v>0.99974644112000577</v>
      </c>
      <c r="F59" s="502">
        <v>0.99723889113868125</v>
      </c>
      <c r="G59" s="499"/>
      <c r="H59" s="499"/>
      <c r="I59" s="499"/>
    </row>
    <row r="60" spans="1:9">
      <c r="A60" s="503"/>
      <c r="B60" s="499"/>
      <c r="C60" s="499"/>
      <c r="D60" s="499"/>
      <c r="E60" s="499"/>
      <c r="F60" s="499"/>
      <c r="G60" s="499"/>
      <c r="H60" s="499"/>
      <c r="I60" s="499"/>
    </row>
    <row r="61" spans="1:9">
      <c r="A61" s="504" t="s">
        <v>133</v>
      </c>
      <c r="B61" s="499"/>
      <c r="C61" s="499"/>
      <c r="D61" s="499"/>
      <c r="E61" s="499"/>
      <c r="F61" s="499"/>
      <c r="G61" s="499"/>
      <c r="H61" s="499"/>
      <c r="I61" s="499"/>
    </row>
    <row r="62" spans="1:9" ht="25.5">
      <c r="A62" s="498" t="s">
        <v>134</v>
      </c>
      <c r="B62" s="369">
        <v>60492</v>
      </c>
      <c r="C62" s="369">
        <v>56510</v>
      </c>
      <c r="D62" s="369">
        <v>55955</v>
      </c>
      <c r="E62" s="369">
        <v>56525</v>
      </c>
      <c r="F62" s="369">
        <v>56421</v>
      </c>
      <c r="G62" s="499"/>
      <c r="H62" s="499"/>
      <c r="I62" s="499"/>
    </row>
    <row r="63" spans="1:9">
      <c r="A63" s="498" t="s">
        <v>135</v>
      </c>
      <c r="B63" s="369">
        <v>60403</v>
      </c>
      <c r="C63" s="369">
        <v>56428</v>
      </c>
      <c r="D63" s="369">
        <v>55821</v>
      </c>
      <c r="E63" s="369">
        <v>56387</v>
      </c>
      <c r="F63" s="369">
        <v>56203</v>
      </c>
      <c r="G63" s="499"/>
      <c r="H63" s="499"/>
      <c r="I63" s="499"/>
    </row>
    <row r="64" spans="1:9" ht="25.5">
      <c r="A64" s="500" t="s">
        <v>136</v>
      </c>
      <c r="B64" s="501">
        <v>0.99852873107187723</v>
      </c>
      <c r="C64" s="501">
        <v>0.99854892939302775</v>
      </c>
      <c r="D64" s="501">
        <v>0.99760521847913497</v>
      </c>
      <c r="E64" s="501">
        <v>0.99755860238832372</v>
      </c>
      <c r="F64" s="502">
        <v>0.99613619042555079</v>
      </c>
      <c r="G64" s="499"/>
      <c r="H64" s="499"/>
      <c r="I64" s="499"/>
    </row>
    <row r="65" spans="1:9" ht="25.5">
      <c r="A65" s="500" t="s">
        <v>137</v>
      </c>
      <c r="B65" s="505">
        <v>0.623</v>
      </c>
      <c r="C65" s="505">
        <v>0.629</v>
      </c>
      <c r="D65" s="505">
        <v>0.64439999999999997</v>
      </c>
      <c r="E65" s="505">
        <v>0.62250000000000005</v>
      </c>
      <c r="F65" s="506">
        <v>0.66110000000000002</v>
      </c>
      <c r="G65" s="507"/>
      <c r="H65" s="507"/>
      <c r="I65" s="507"/>
    </row>
    <row r="66" spans="1:9">
      <c r="A66" s="477"/>
    </row>
    <row r="67" spans="1:9" ht="25.5">
      <c r="A67" s="478" t="s">
        <v>138</v>
      </c>
      <c r="B67" s="306" t="s">
        <v>2</v>
      </c>
      <c r="C67" s="307"/>
      <c r="D67" s="307"/>
      <c r="E67" s="308"/>
      <c r="F67" s="309" t="s">
        <v>3</v>
      </c>
      <c r="G67" s="382" t="s">
        <v>4</v>
      </c>
      <c r="H67" s="310"/>
      <c r="I67" s="311"/>
    </row>
    <row r="68" spans="1:9">
      <c r="A68" s="478"/>
      <c r="B68" s="314"/>
      <c r="C68" s="315"/>
      <c r="D68" s="315"/>
      <c r="E68" s="316"/>
      <c r="F68" s="317"/>
      <c r="G68" s="385"/>
      <c r="H68" s="318"/>
      <c r="I68" s="319"/>
    </row>
    <row r="69" spans="1:9" ht="15">
      <c r="A69" s="508"/>
      <c r="B69" s="488">
        <v>2014</v>
      </c>
      <c r="C69" s="489">
        <v>2015</v>
      </c>
      <c r="D69" s="489">
        <v>2016</v>
      </c>
      <c r="E69" s="490">
        <v>2017</v>
      </c>
      <c r="F69" s="489">
        <v>2018</v>
      </c>
      <c r="G69" s="490">
        <v>2019</v>
      </c>
      <c r="H69" s="489">
        <v>2020</v>
      </c>
      <c r="I69" s="491">
        <v>2021</v>
      </c>
    </row>
    <row r="70" spans="1:9" ht="25.5">
      <c r="A70" s="509" t="s">
        <v>139</v>
      </c>
      <c r="B70" s="369">
        <v>38</v>
      </c>
      <c r="C70" s="369">
        <v>35</v>
      </c>
      <c r="D70" s="369">
        <v>24</v>
      </c>
      <c r="E70" s="369">
        <v>15</v>
      </c>
      <c r="F70" s="369">
        <v>18</v>
      </c>
      <c r="G70" s="368">
        <v>26</v>
      </c>
      <c r="H70" s="368">
        <v>23.6</v>
      </c>
      <c r="I70" s="368">
        <v>21.32</v>
      </c>
    </row>
    <row r="71" spans="1:9" ht="25.5">
      <c r="A71" s="510" t="s">
        <v>140</v>
      </c>
      <c r="B71" s="369">
        <v>56</v>
      </c>
      <c r="C71" s="369">
        <v>42</v>
      </c>
      <c r="D71" s="369">
        <v>58</v>
      </c>
      <c r="E71" s="369">
        <v>52</v>
      </c>
      <c r="F71" s="369">
        <v>64</v>
      </c>
      <c r="G71" s="511"/>
      <c r="H71" s="511"/>
      <c r="I71" s="511"/>
    </row>
    <row r="72" spans="1:9">
      <c r="A72" s="477"/>
    </row>
    <row r="73" spans="1:9" ht="25.5">
      <c r="A73" s="478" t="s">
        <v>141</v>
      </c>
      <c r="B73" s="306" t="s">
        <v>2</v>
      </c>
      <c r="C73" s="307"/>
      <c r="D73" s="307"/>
      <c r="E73" s="308"/>
      <c r="F73" s="309" t="s">
        <v>3</v>
      </c>
      <c r="G73" s="382" t="s">
        <v>4</v>
      </c>
      <c r="H73" s="310"/>
      <c r="I73" s="311"/>
    </row>
    <row r="74" spans="1:9">
      <c r="A74" s="478"/>
      <c r="B74" s="314"/>
      <c r="C74" s="315"/>
      <c r="D74" s="315"/>
      <c r="E74" s="316"/>
      <c r="F74" s="317"/>
      <c r="G74" s="385"/>
      <c r="H74" s="318"/>
      <c r="I74" s="319"/>
    </row>
    <row r="75" spans="1:9">
      <c r="A75" s="478"/>
      <c r="B75" s="488">
        <v>2014</v>
      </c>
      <c r="C75" s="489">
        <v>2015</v>
      </c>
      <c r="D75" s="489">
        <v>2016</v>
      </c>
      <c r="E75" s="490">
        <v>2017</v>
      </c>
      <c r="F75" s="489">
        <v>2018</v>
      </c>
      <c r="G75" s="490">
        <v>2019</v>
      </c>
      <c r="H75" s="489">
        <v>2020</v>
      </c>
      <c r="I75" s="491">
        <v>2021</v>
      </c>
    </row>
    <row r="76" spans="1:9">
      <c r="A76" s="510" t="s">
        <v>142</v>
      </c>
      <c r="B76" s="369">
        <v>815</v>
      </c>
      <c r="C76" s="369">
        <v>883</v>
      </c>
      <c r="D76" s="369">
        <v>685</v>
      </c>
      <c r="E76" s="369">
        <v>683</v>
      </c>
      <c r="F76" s="369">
        <v>689</v>
      </c>
      <c r="G76" s="368">
        <v>751</v>
      </c>
      <c r="H76" s="368">
        <v>738.2</v>
      </c>
      <c r="I76" s="368">
        <v>709.24</v>
      </c>
    </row>
    <row r="77" spans="1:9">
      <c r="A77" s="477"/>
    </row>
    <row r="78" spans="1:9">
      <c r="A78" s="477"/>
    </row>
    <row r="79" spans="1:9" ht="12.75" customHeight="1">
      <c r="A79" s="478" t="s">
        <v>143</v>
      </c>
      <c r="B79" s="306" t="s">
        <v>2</v>
      </c>
      <c r="C79" s="307"/>
      <c r="D79" s="307"/>
      <c r="E79" s="308"/>
      <c r="F79" s="309" t="s">
        <v>3</v>
      </c>
      <c r="G79" s="382" t="s">
        <v>4</v>
      </c>
      <c r="H79" s="310"/>
      <c r="I79" s="311"/>
    </row>
    <row r="80" spans="1:9">
      <c r="A80" s="477"/>
      <c r="B80" s="314"/>
      <c r="C80" s="315"/>
      <c r="D80" s="315"/>
      <c r="E80" s="316"/>
      <c r="F80" s="317"/>
      <c r="G80" s="385"/>
      <c r="H80" s="318"/>
      <c r="I80" s="319"/>
    </row>
    <row r="81" spans="1:10">
      <c r="A81" s="477"/>
      <c r="B81" s="488">
        <v>2014</v>
      </c>
      <c r="C81" s="489">
        <v>2015</v>
      </c>
      <c r="D81" s="489">
        <v>2016</v>
      </c>
      <c r="E81" s="490">
        <v>2017</v>
      </c>
      <c r="F81" s="489">
        <v>2018</v>
      </c>
      <c r="G81" s="490">
        <v>2019</v>
      </c>
      <c r="H81" s="489">
        <v>2020</v>
      </c>
      <c r="I81" s="491">
        <v>2021</v>
      </c>
    </row>
    <row r="82" spans="1:10">
      <c r="A82" s="510" t="s">
        <v>144</v>
      </c>
      <c r="B82" s="512">
        <v>6.7164179104477612E-2</v>
      </c>
      <c r="C82" s="512">
        <v>0.5149253731343284</v>
      </c>
      <c r="D82" s="512">
        <v>0.24754007739082362</v>
      </c>
      <c r="E82" s="512">
        <v>6.6666666666666652E-2</v>
      </c>
      <c r="F82" s="513">
        <v>0</v>
      </c>
      <c r="G82" s="514">
        <f>12/135</f>
        <v>8.8888888888888892E-2</v>
      </c>
      <c r="H82" s="514">
        <f>1/135</f>
        <v>7.4074074074074077E-3</v>
      </c>
      <c r="I82" s="514">
        <f>1/135</f>
        <v>7.4074074074074077E-3</v>
      </c>
      <c r="J82" s="515"/>
    </row>
    <row r="83" spans="1:10">
      <c r="A83" s="516" t="s">
        <v>145</v>
      </c>
      <c r="B83" s="512">
        <f>+B82</f>
        <v>6.7164179104477612E-2</v>
      </c>
      <c r="C83" s="512">
        <f>IF(ISERROR(+C82+B83),"",+C82+B83)</f>
        <v>0.58208955223880599</v>
      </c>
      <c r="D83" s="512">
        <f t="shared" ref="D83:I83" si="14">IF(ISERROR(+D82+C83),"",+D82+C83)</f>
        <v>0.82962962962962961</v>
      </c>
      <c r="E83" s="512">
        <f t="shared" si="14"/>
        <v>0.89629629629629626</v>
      </c>
      <c r="F83" s="512">
        <f t="shared" si="14"/>
        <v>0.89629629629629626</v>
      </c>
      <c r="G83" s="512">
        <f t="shared" si="14"/>
        <v>0.98518518518518516</v>
      </c>
      <c r="H83" s="512">
        <f t="shared" si="14"/>
        <v>0.99259259259259258</v>
      </c>
      <c r="I83" s="512">
        <f t="shared" si="14"/>
        <v>1</v>
      </c>
    </row>
  </sheetData>
  <mergeCells count="33">
    <mergeCell ref="B73:E74"/>
    <mergeCell ref="F73:F74"/>
    <mergeCell ref="G73:I74"/>
    <mergeCell ref="B79:E80"/>
    <mergeCell ref="F79:F80"/>
    <mergeCell ref="G79:I80"/>
    <mergeCell ref="V44:V45"/>
    <mergeCell ref="W44:AC45"/>
    <mergeCell ref="B51:E52"/>
    <mergeCell ref="F51:F52"/>
    <mergeCell ref="G51:I52"/>
    <mergeCell ref="B67:E68"/>
    <mergeCell ref="F67:F68"/>
    <mergeCell ref="G67:I68"/>
    <mergeCell ref="B44:E45"/>
    <mergeCell ref="F44:F45"/>
    <mergeCell ref="G44:I45"/>
    <mergeCell ref="L44:N45"/>
    <mergeCell ref="O44:O45"/>
    <mergeCell ref="P44:S45"/>
    <mergeCell ref="L19:L20"/>
    <mergeCell ref="M19:S20"/>
    <mergeCell ref="V19:V20"/>
    <mergeCell ref="W19:AC20"/>
    <mergeCell ref="B35:E36"/>
    <mergeCell ref="F35:F36"/>
    <mergeCell ref="G35:I36"/>
    <mergeCell ref="B9:E10"/>
    <mergeCell ref="F9:F10"/>
    <mergeCell ref="G9:I10"/>
    <mergeCell ref="B19:E20"/>
    <mergeCell ref="F19:F20"/>
    <mergeCell ref="G19:I20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F133"/>
  <sheetViews>
    <sheetView topLeftCell="A88" zoomScale="70" zoomScaleNormal="70" workbookViewId="0">
      <selection activeCell="K83" sqref="K83"/>
    </sheetView>
  </sheetViews>
  <sheetFormatPr defaultRowHeight="12.75"/>
  <cols>
    <col min="1" max="1" width="45.5703125" customWidth="1"/>
    <col min="2" max="10" width="14.42578125" customWidth="1"/>
    <col min="12" max="12" width="29.42578125" customWidth="1"/>
    <col min="13" max="13" width="14.5703125" bestFit="1" customWidth="1"/>
    <col min="14" max="20" width="11.42578125" customWidth="1"/>
    <col min="21" max="21" width="14.5703125" bestFit="1" customWidth="1"/>
    <col min="23" max="23" width="29.5703125" customWidth="1"/>
    <col min="24" max="24" width="13.85546875" bestFit="1" customWidth="1"/>
    <col min="25" max="32" width="11.5703125" customWidth="1"/>
  </cols>
  <sheetData>
    <row r="1" spans="1:32" s="3" customFormat="1" ht="24.75">
      <c r="A1" s="1" t="s">
        <v>254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3" customFormat="1" ht="24.75">
      <c r="A2" s="1" t="s">
        <v>255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3" customFormat="1" ht="24.75">
      <c r="A3" s="1" t="s">
        <v>256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A4" s="5"/>
      <c r="B4" s="5"/>
      <c r="C4" s="5"/>
      <c r="D4" s="6"/>
      <c r="E4" s="5"/>
      <c r="F4" s="5"/>
      <c r="G4" s="5"/>
      <c r="H4" s="5"/>
      <c r="I4" s="5"/>
      <c r="J4" s="5"/>
    </row>
    <row r="5" spans="1:32" ht="15">
      <c r="A5" s="471" t="s">
        <v>146</v>
      </c>
      <c r="B5" s="5"/>
      <c r="C5" s="5"/>
      <c r="D5" s="6"/>
      <c r="E5" s="5"/>
      <c r="F5" s="5"/>
      <c r="G5" s="5"/>
      <c r="H5" s="5"/>
      <c r="I5" s="5"/>
      <c r="J5" s="5"/>
    </row>
    <row r="6" spans="1:32" ht="19.5">
      <c r="A6" s="4"/>
      <c r="B6" s="5"/>
      <c r="C6" s="5"/>
      <c r="D6" s="6"/>
      <c r="E6" s="5"/>
      <c r="F6" s="5"/>
      <c r="G6" s="5"/>
      <c r="H6" s="5"/>
      <c r="I6" s="5"/>
      <c r="J6" s="5"/>
    </row>
    <row r="7" spans="1:32" ht="15">
      <c r="A7" s="471" t="s">
        <v>147</v>
      </c>
      <c r="B7" s="5"/>
      <c r="C7" s="5"/>
      <c r="D7" s="6"/>
      <c r="E7" s="5"/>
      <c r="F7" s="5"/>
      <c r="G7" s="5"/>
      <c r="H7" s="5"/>
      <c r="I7" s="5"/>
      <c r="J7" s="5"/>
    </row>
    <row r="8" spans="1:32">
      <c r="A8" s="5"/>
      <c r="B8" s="5"/>
      <c r="C8" s="5"/>
      <c r="D8" s="6"/>
      <c r="E8" s="5"/>
      <c r="F8" s="5"/>
      <c r="G8" s="5"/>
      <c r="H8" s="5"/>
      <c r="I8" s="5"/>
      <c r="J8" s="5"/>
    </row>
    <row r="9" spans="1:32" ht="14.25">
      <c r="A9" s="6" t="s">
        <v>148</v>
      </c>
      <c r="B9" s="5"/>
      <c r="C9" s="5"/>
      <c r="D9" s="6"/>
      <c r="E9" s="5"/>
      <c r="F9" s="472"/>
      <c r="G9" s="5"/>
      <c r="H9" s="5"/>
      <c r="I9" s="5"/>
      <c r="J9" s="5"/>
    </row>
    <row r="10" spans="1:32">
      <c r="A10" s="5"/>
      <c r="B10" s="5"/>
      <c r="C10" s="5"/>
      <c r="D10" s="6"/>
      <c r="E10" s="5"/>
      <c r="F10" s="5"/>
      <c r="G10" s="5"/>
      <c r="H10" s="5"/>
      <c r="I10" s="5"/>
      <c r="J10" s="5"/>
    </row>
    <row r="11" spans="1:32" ht="12.75" customHeight="1">
      <c r="A11" s="8"/>
      <c r="B11" s="306" t="s">
        <v>2</v>
      </c>
      <c r="C11" s="307"/>
      <c r="D11" s="307"/>
      <c r="E11" s="308"/>
      <c r="F11" s="309" t="s">
        <v>3</v>
      </c>
      <c r="G11" s="310" t="s">
        <v>4</v>
      </c>
      <c r="H11" s="310"/>
      <c r="I11" s="311"/>
      <c r="J11" s="383"/>
    </row>
    <row r="12" spans="1:32">
      <c r="A12" s="17"/>
      <c r="B12" s="314"/>
      <c r="C12" s="315"/>
      <c r="D12" s="315"/>
      <c r="E12" s="316"/>
      <c r="F12" s="317"/>
      <c r="G12" s="318"/>
      <c r="H12" s="318"/>
      <c r="I12" s="319"/>
      <c r="J12" s="517"/>
    </row>
    <row r="13" spans="1:32" ht="25.5">
      <c r="A13" s="26"/>
      <c r="B13" s="322">
        <v>2014</v>
      </c>
      <c r="C13" s="389">
        <v>2015</v>
      </c>
      <c r="D13" s="389">
        <v>2016</v>
      </c>
      <c r="E13" s="390">
        <v>2017</v>
      </c>
      <c r="F13" s="389">
        <v>2018</v>
      </c>
      <c r="G13" s="390">
        <v>2019</v>
      </c>
      <c r="H13" s="389">
        <v>2020</v>
      </c>
      <c r="I13" s="391">
        <v>2021</v>
      </c>
      <c r="J13" s="392" t="s">
        <v>5</v>
      </c>
    </row>
    <row r="14" spans="1:32">
      <c r="A14" s="481" t="s">
        <v>149</v>
      </c>
      <c r="B14" s="369">
        <v>43276</v>
      </c>
      <c r="C14" s="369">
        <v>57434</v>
      </c>
      <c r="D14" s="369">
        <v>58925</v>
      </c>
      <c r="E14" s="369">
        <v>59677</v>
      </c>
      <c r="F14" s="369">
        <v>62669</v>
      </c>
      <c r="G14" s="368">
        <v>67302.908246412437</v>
      </c>
      <c r="H14" s="368">
        <v>64345.376937766159</v>
      </c>
      <c r="I14" s="368">
        <v>64350.69951902482</v>
      </c>
      <c r="J14" s="369">
        <f>SUM(B14:I14)</f>
        <v>477979.98470320337</v>
      </c>
    </row>
    <row r="15" spans="1:32">
      <c r="A15" s="481" t="s">
        <v>150</v>
      </c>
      <c r="B15" s="369">
        <v>11464</v>
      </c>
      <c r="C15" s="369">
        <v>13034</v>
      </c>
      <c r="D15" s="369">
        <v>12859</v>
      </c>
      <c r="E15" s="369">
        <v>12427</v>
      </c>
      <c r="F15" s="369">
        <v>13714</v>
      </c>
      <c r="G15" s="368">
        <v>12900</v>
      </c>
      <c r="H15" s="368">
        <v>12700</v>
      </c>
      <c r="I15" s="368">
        <v>12500</v>
      </c>
      <c r="J15" s="369">
        <f>SUM(B15:I15)</f>
        <v>101598</v>
      </c>
    </row>
    <row r="16" spans="1:32">
      <c r="A16" s="481" t="s">
        <v>151</v>
      </c>
      <c r="B16" s="369">
        <f>SUM(B14:B15)</f>
        <v>54740</v>
      </c>
      <c r="C16" s="369">
        <f>SUM(C14:C15)</f>
        <v>70468</v>
      </c>
      <c r="D16" s="369">
        <f>SUM(D14:D15)</f>
        <v>71784</v>
      </c>
      <c r="E16" s="369">
        <f>SUM(E14:E15)</f>
        <v>72104</v>
      </c>
      <c r="F16" s="369">
        <f>SUM(F14:F15)</f>
        <v>76383</v>
      </c>
      <c r="G16" s="369">
        <f t="shared" ref="G16:I16" si="0">SUM(G14:G15)</f>
        <v>80202.908246412437</v>
      </c>
      <c r="H16" s="369">
        <f t="shared" si="0"/>
        <v>77045.376937766152</v>
      </c>
      <c r="I16" s="369">
        <f t="shared" si="0"/>
        <v>76850.699519024813</v>
      </c>
      <c r="J16" s="369">
        <f>SUM(B16:I16)</f>
        <v>579577.98470320343</v>
      </c>
    </row>
    <row r="18" spans="1:32" ht="14.25">
      <c r="A18" s="6" t="s">
        <v>152</v>
      </c>
      <c r="B18" s="5"/>
      <c r="C18" s="5"/>
      <c r="D18" s="6"/>
      <c r="E18" s="5"/>
      <c r="F18" s="472"/>
      <c r="G18" s="5"/>
      <c r="H18" s="5"/>
      <c r="I18" s="5"/>
      <c r="J18" s="5"/>
      <c r="L18" s="6" t="s">
        <v>48</v>
      </c>
      <c r="M18" s="5"/>
      <c r="N18" s="5"/>
      <c r="O18" s="6"/>
      <c r="P18" s="5"/>
      <c r="Q18" s="472"/>
      <c r="R18" s="5"/>
      <c r="S18" s="5"/>
      <c r="T18" s="5"/>
      <c r="U18" s="5"/>
      <c r="W18" s="6" t="s">
        <v>49</v>
      </c>
      <c r="X18" s="5"/>
      <c r="Y18" s="5"/>
      <c r="Z18" s="6"/>
      <c r="AA18" s="5"/>
      <c r="AB18" s="472"/>
      <c r="AC18" s="5"/>
      <c r="AD18" s="5"/>
      <c r="AE18" s="5"/>
      <c r="AF18" s="5"/>
    </row>
    <row r="19" spans="1:32">
      <c r="A19" s="5"/>
      <c r="B19" s="5"/>
      <c r="C19" s="5"/>
      <c r="D19" s="6"/>
      <c r="E19" s="5"/>
      <c r="F19" s="5"/>
      <c r="G19" s="5"/>
      <c r="H19" s="5"/>
      <c r="I19" s="5"/>
      <c r="J19" s="5"/>
      <c r="L19" s="5"/>
      <c r="M19" s="5"/>
      <c r="N19" s="5"/>
      <c r="O19" s="6"/>
      <c r="P19" s="5"/>
      <c r="Q19" s="5"/>
      <c r="R19" s="5"/>
      <c r="S19" s="5"/>
      <c r="T19" s="5"/>
      <c r="U19" s="5"/>
      <c r="W19" s="5"/>
      <c r="X19" s="5"/>
      <c r="Y19" s="5"/>
      <c r="Z19" s="6"/>
      <c r="AA19" s="5"/>
      <c r="AB19" s="5"/>
      <c r="AC19" s="5"/>
      <c r="AD19" s="5"/>
      <c r="AE19" s="5"/>
      <c r="AF19" s="5"/>
    </row>
    <row r="20" spans="1:32" ht="12.75" customHeight="1">
      <c r="A20" s="8"/>
      <c r="B20" s="306" t="s">
        <v>2</v>
      </c>
      <c r="C20" s="307"/>
      <c r="D20" s="307"/>
      <c r="E20" s="308"/>
      <c r="F20" s="309" t="s">
        <v>3</v>
      </c>
      <c r="G20" s="310" t="s">
        <v>4</v>
      </c>
      <c r="H20" s="310"/>
      <c r="I20" s="311"/>
      <c r="J20" s="383"/>
      <c r="L20" s="8"/>
      <c r="M20" s="306" t="s">
        <v>2</v>
      </c>
      <c r="N20" s="307"/>
      <c r="O20" s="308"/>
      <c r="P20" s="309" t="s">
        <v>3</v>
      </c>
      <c r="Q20" s="382" t="s">
        <v>4</v>
      </c>
      <c r="R20" s="310"/>
      <c r="S20" s="310"/>
      <c r="T20" s="311"/>
      <c r="U20" s="383"/>
      <c r="W20" s="8"/>
      <c r="X20" s="306" t="s">
        <v>2</v>
      </c>
      <c r="Y20" s="307"/>
      <c r="Z20" s="308"/>
      <c r="AA20" s="309" t="s">
        <v>3</v>
      </c>
      <c r="AB20" s="382" t="s">
        <v>4</v>
      </c>
      <c r="AC20" s="310"/>
      <c r="AD20" s="310"/>
      <c r="AE20" s="311"/>
      <c r="AF20" s="383"/>
    </row>
    <row r="21" spans="1:32">
      <c r="A21" s="17"/>
      <c r="B21" s="314"/>
      <c r="C21" s="315"/>
      <c r="D21" s="315"/>
      <c r="E21" s="316"/>
      <c r="F21" s="317"/>
      <c r="G21" s="318"/>
      <c r="H21" s="318"/>
      <c r="I21" s="319"/>
      <c r="J21" s="517"/>
      <c r="L21" s="17"/>
      <c r="M21" s="314"/>
      <c r="N21" s="315"/>
      <c r="O21" s="316"/>
      <c r="P21" s="317"/>
      <c r="Q21" s="385"/>
      <c r="R21" s="318"/>
      <c r="S21" s="318"/>
      <c r="T21" s="319"/>
      <c r="U21" s="517"/>
      <c r="W21" s="17"/>
      <c r="X21" s="314"/>
      <c r="Y21" s="315"/>
      <c r="Z21" s="316"/>
      <c r="AA21" s="317"/>
      <c r="AB21" s="385"/>
      <c r="AC21" s="318"/>
      <c r="AD21" s="318"/>
      <c r="AE21" s="319"/>
      <c r="AF21" s="517"/>
    </row>
    <row r="22" spans="1:32" ht="51" customHeight="1">
      <c r="A22" s="26"/>
      <c r="B22" s="322">
        <v>2014</v>
      </c>
      <c r="C22" s="389">
        <v>2015</v>
      </c>
      <c r="D22" s="389">
        <v>2016</v>
      </c>
      <c r="E22" s="390">
        <v>2017</v>
      </c>
      <c r="F22" s="389">
        <v>2018</v>
      </c>
      <c r="G22" s="390">
        <v>2019</v>
      </c>
      <c r="H22" s="389">
        <v>2020</v>
      </c>
      <c r="I22" s="391">
        <v>2021</v>
      </c>
      <c r="J22" s="392" t="s">
        <v>5</v>
      </c>
      <c r="L22" s="26"/>
      <c r="M22" s="322">
        <v>2014</v>
      </c>
      <c r="N22" s="389">
        <v>2015</v>
      </c>
      <c r="O22" s="389">
        <v>2016</v>
      </c>
      <c r="P22" s="390">
        <v>2017</v>
      </c>
      <c r="Q22" s="389">
        <v>2018</v>
      </c>
      <c r="R22" s="390">
        <v>2019</v>
      </c>
      <c r="S22" s="389">
        <v>2020</v>
      </c>
      <c r="T22" s="391">
        <v>2021</v>
      </c>
      <c r="U22" s="392" t="s">
        <v>5</v>
      </c>
      <c r="W22" s="26"/>
      <c r="X22" s="322">
        <v>2014</v>
      </c>
      <c r="Y22" s="389">
        <v>2015</v>
      </c>
      <c r="Z22" s="389">
        <v>2016</v>
      </c>
      <c r="AA22" s="390">
        <v>2017</v>
      </c>
      <c r="AB22" s="389">
        <v>2018</v>
      </c>
      <c r="AC22" s="390">
        <v>2019</v>
      </c>
      <c r="AD22" s="389">
        <v>2020</v>
      </c>
      <c r="AE22" s="391">
        <v>2021</v>
      </c>
      <c r="AF22" s="392" t="s">
        <v>5</v>
      </c>
    </row>
    <row r="23" spans="1:32">
      <c r="A23" s="481" t="s">
        <v>149</v>
      </c>
      <c r="B23" s="369">
        <v>43276</v>
      </c>
      <c r="C23" s="369">
        <v>57434</v>
      </c>
      <c r="D23" s="369">
        <v>58925</v>
      </c>
      <c r="E23" s="369">
        <v>59677</v>
      </c>
      <c r="F23" s="369">
        <v>74236.619187878634</v>
      </c>
      <c r="G23" s="369">
        <v>77084.506327384792</v>
      </c>
      <c r="H23" s="369">
        <v>65813.973252883545</v>
      </c>
      <c r="I23" s="369">
        <v>65775.626478689999</v>
      </c>
      <c r="J23" s="369">
        <f>SUM(B23:I23)</f>
        <v>502222.72524683696</v>
      </c>
      <c r="L23" s="481" t="s">
        <v>149</v>
      </c>
      <c r="M23" s="369">
        <f>B14-B23</f>
        <v>0</v>
      </c>
      <c r="N23" s="369">
        <f t="shared" ref="N23:U25" si="1">C14-C23</f>
        <v>0</v>
      </c>
      <c r="O23" s="369">
        <f t="shared" si="1"/>
        <v>0</v>
      </c>
      <c r="P23" s="369">
        <f t="shared" si="1"/>
        <v>0</v>
      </c>
      <c r="Q23" s="369">
        <f t="shared" si="1"/>
        <v>-11567.619187878634</v>
      </c>
      <c r="R23" s="369">
        <f t="shared" si="1"/>
        <v>-9781.5980809723551</v>
      </c>
      <c r="S23" s="369">
        <f t="shared" si="1"/>
        <v>-1468.5963151173855</v>
      </c>
      <c r="T23" s="369">
        <f t="shared" si="1"/>
        <v>-1424.9269596651793</v>
      </c>
      <c r="U23" s="369">
        <f t="shared" si="1"/>
        <v>-24242.740543633583</v>
      </c>
      <c r="W23" s="481" t="s">
        <v>149</v>
      </c>
      <c r="X23" s="482">
        <f>M23/B23</f>
        <v>0</v>
      </c>
      <c r="Y23" s="482">
        <f t="shared" ref="Y23:AF25" si="2">N23/C23</f>
        <v>0</v>
      </c>
      <c r="Z23" s="482">
        <f t="shared" si="2"/>
        <v>0</v>
      </c>
      <c r="AA23" s="482">
        <f t="shared" si="2"/>
        <v>0</v>
      </c>
      <c r="AB23" s="482">
        <f t="shared" si="2"/>
        <v>-0.15582093196624713</v>
      </c>
      <c r="AC23" s="482">
        <f t="shared" si="2"/>
        <v>-0.126894476555756</v>
      </c>
      <c r="AD23" s="482">
        <f t="shared" si="2"/>
        <v>-2.2314354270550611E-2</v>
      </c>
      <c r="AE23" s="482">
        <f t="shared" si="2"/>
        <v>-2.1663449456111639E-2</v>
      </c>
      <c r="AF23" s="482">
        <f t="shared" si="2"/>
        <v>-4.82708952123155E-2</v>
      </c>
    </row>
    <row r="24" spans="1:32">
      <c r="A24" s="481" t="s">
        <v>150</v>
      </c>
      <c r="B24" s="369">
        <v>11464</v>
      </c>
      <c r="C24" s="369">
        <v>13034</v>
      </c>
      <c r="D24" s="369">
        <v>14289</v>
      </c>
      <c r="E24" s="369">
        <v>15183</v>
      </c>
      <c r="F24" s="369">
        <v>13339</v>
      </c>
      <c r="G24" s="369">
        <v>13220</v>
      </c>
      <c r="H24" s="369">
        <v>13103</v>
      </c>
      <c r="I24" s="369">
        <v>12987</v>
      </c>
      <c r="J24" s="369">
        <f>SUM(B24:I24)</f>
        <v>106619</v>
      </c>
      <c r="L24" s="481" t="s">
        <v>150</v>
      </c>
      <c r="M24" s="369">
        <f>B15-B24</f>
        <v>0</v>
      </c>
      <c r="N24" s="369">
        <f t="shared" si="1"/>
        <v>0</v>
      </c>
      <c r="O24" s="369">
        <f t="shared" si="1"/>
        <v>-1430</v>
      </c>
      <c r="P24" s="369">
        <f t="shared" si="1"/>
        <v>-2756</v>
      </c>
      <c r="Q24" s="369">
        <f t="shared" si="1"/>
        <v>375</v>
      </c>
      <c r="R24" s="369">
        <f t="shared" si="1"/>
        <v>-320</v>
      </c>
      <c r="S24" s="369">
        <f t="shared" si="1"/>
        <v>-403</v>
      </c>
      <c r="T24" s="369">
        <f t="shared" si="1"/>
        <v>-487</v>
      </c>
      <c r="U24" s="369">
        <f t="shared" si="1"/>
        <v>-5021</v>
      </c>
      <c r="W24" s="481" t="s">
        <v>150</v>
      </c>
      <c r="X24" s="482">
        <f>M24/B24</f>
        <v>0</v>
      </c>
      <c r="Y24" s="482">
        <f t="shared" si="2"/>
        <v>0</v>
      </c>
      <c r="Z24" s="482">
        <f t="shared" si="2"/>
        <v>-0.10007698229407236</v>
      </c>
      <c r="AA24" s="482">
        <f t="shared" si="2"/>
        <v>-0.18151880392544292</v>
      </c>
      <c r="AB24" s="482">
        <f t="shared" si="2"/>
        <v>2.811305195292001E-2</v>
      </c>
      <c r="AC24" s="482">
        <f t="shared" si="2"/>
        <v>-2.4205748865355523E-2</v>
      </c>
      <c r="AD24" s="482">
        <f t="shared" si="2"/>
        <v>-3.0756315347630313E-2</v>
      </c>
      <c r="AE24" s="482">
        <f t="shared" si="2"/>
        <v>-3.7499037499037498E-2</v>
      </c>
      <c r="AF24" s="482">
        <f t="shared" si="2"/>
        <v>-4.7092919648467908E-2</v>
      </c>
    </row>
    <row r="25" spans="1:32">
      <c r="A25" s="481" t="s">
        <v>151</v>
      </c>
      <c r="B25" s="369">
        <f>SUM(B23:B24)</f>
        <v>54740</v>
      </c>
      <c r="C25" s="369">
        <f t="shared" ref="C25:I25" si="3">SUM(C23:C24)</f>
        <v>70468</v>
      </c>
      <c r="D25" s="369">
        <f t="shared" si="3"/>
        <v>73214</v>
      </c>
      <c r="E25" s="369">
        <f t="shared" si="3"/>
        <v>74860</v>
      </c>
      <c r="F25" s="369">
        <f t="shared" si="3"/>
        <v>87575.619187878634</v>
      </c>
      <c r="G25" s="369">
        <f t="shared" si="3"/>
        <v>90304.506327384792</v>
      </c>
      <c r="H25" s="369">
        <f t="shared" si="3"/>
        <v>78916.973252883545</v>
      </c>
      <c r="I25" s="369">
        <f t="shared" si="3"/>
        <v>78762.626478689999</v>
      </c>
      <c r="J25" s="369">
        <f>SUM(B25:I25)</f>
        <v>608841.7252468369</v>
      </c>
      <c r="L25" s="481" t="s">
        <v>151</v>
      </c>
      <c r="M25" s="369">
        <f>B16-B25</f>
        <v>0</v>
      </c>
      <c r="N25" s="369">
        <f t="shared" si="1"/>
        <v>0</v>
      </c>
      <c r="O25" s="369">
        <f>D16-D25</f>
        <v>-1430</v>
      </c>
      <c r="P25" s="369">
        <f t="shared" si="1"/>
        <v>-2756</v>
      </c>
      <c r="Q25" s="369">
        <f t="shared" si="1"/>
        <v>-11192.619187878634</v>
      </c>
      <c r="R25" s="369">
        <f t="shared" si="1"/>
        <v>-10101.598080972355</v>
      </c>
      <c r="S25" s="369">
        <f t="shared" si="1"/>
        <v>-1871.5963151173928</v>
      </c>
      <c r="T25" s="369">
        <f t="shared" si="1"/>
        <v>-1911.9269596651866</v>
      </c>
      <c r="U25" s="369">
        <f t="shared" si="1"/>
        <v>-29263.740543633467</v>
      </c>
      <c r="W25" s="481" t="s">
        <v>151</v>
      </c>
      <c r="X25" s="482">
        <f>M25/B25</f>
        <v>0</v>
      </c>
      <c r="Y25" s="482">
        <f t="shared" si="2"/>
        <v>0</v>
      </c>
      <c r="Z25" s="482">
        <f t="shared" si="2"/>
        <v>-1.9531783538667469E-2</v>
      </c>
      <c r="AA25" s="482">
        <f t="shared" si="2"/>
        <v>-3.6815388725621158E-2</v>
      </c>
      <c r="AB25" s="482">
        <f t="shared" si="2"/>
        <v>-0.12780519614559355</v>
      </c>
      <c r="AC25" s="482">
        <f t="shared" si="2"/>
        <v>-0.1118615060509893</v>
      </c>
      <c r="AD25" s="482">
        <f t="shared" si="2"/>
        <v>-2.3716017454445473E-2</v>
      </c>
      <c r="AE25" s="482">
        <f t="shared" si="2"/>
        <v>-2.4274545493762543E-2</v>
      </c>
      <c r="AF25" s="482">
        <f t="shared" si="2"/>
        <v>-4.8064610768536513E-2</v>
      </c>
    </row>
    <row r="27" spans="1:32" ht="14.25">
      <c r="A27" s="6" t="s">
        <v>153</v>
      </c>
      <c r="B27" s="5"/>
      <c r="C27" s="5"/>
      <c r="D27" s="6"/>
      <c r="E27" s="5"/>
      <c r="F27" s="472"/>
      <c r="G27" s="5"/>
      <c r="H27" s="5"/>
      <c r="I27" s="5"/>
      <c r="J27" s="5"/>
      <c r="L27" s="6" t="s">
        <v>108</v>
      </c>
      <c r="M27" s="5"/>
      <c r="N27" s="5"/>
      <c r="O27" s="6"/>
      <c r="P27" s="5"/>
      <c r="Q27" s="472"/>
      <c r="R27" s="5"/>
      <c r="S27" s="5"/>
      <c r="T27" s="5"/>
      <c r="U27" s="5"/>
      <c r="W27" s="6" t="s">
        <v>108</v>
      </c>
      <c r="X27" s="5"/>
      <c r="Y27" s="5"/>
      <c r="Z27" s="6"/>
      <c r="AA27" s="5"/>
      <c r="AB27" s="472"/>
      <c r="AC27" s="5"/>
      <c r="AD27" s="5"/>
      <c r="AE27" s="5"/>
      <c r="AF27" s="5"/>
    </row>
    <row r="28" spans="1:32">
      <c r="A28" s="5"/>
      <c r="B28" s="5"/>
      <c r="C28" s="5"/>
      <c r="D28" s="6"/>
      <c r="E28" s="5"/>
      <c r="F28" s="5"/>
      <c r="G28" s="5"/>
      <c r="H28" s="5"/>
      <c r="I28" s="5"/>
      <c r="J28" s="5"/>
      <c r="L28" s="5"/>
      <c r="M28" s="5"/>
      <c r="N28" s="5"/>
      <c r="O28" s="6"/>
      <c r="P28" s="5"/>
      <c r="Q28" s="5"/>
      <c r="R28" s="5"/>
      <c r="S28" s="5"/>
      <c r="T28" s="5"/>
      <c r="U28" s="5"/>
      <c r="W28" s="5"/>
      <c r="X28" s="5"/>
      <c r="Y28" s="5"/>
      <c r="Z28" s="6"/>
      <c r="AA28" s="5"/>
      <c r="AB28" s="5"/>
      <c r="AC28" s="5"/>
      <c r="AD28" s="5"/>
      <c r="AE28" s="5"/>
      <c r="AF28" s="5"/>
    </row>
    <row r="29" spans="1:32" ht="25.5">
      <c r="A29" s="26"/>
      <c r="B29" s="483" t="s">
        <v>107</v>
      </c>
      <c r="C29" s="5"/>
      <c r="D29" s="5"/>
      <c r="E29" s="5"/>
      <c r="F29" s="5"/>
      <c r="G29" s="5"/>
      <c r="H29" s="6"/>
      <c r="I29" s="5"/>
      <c r="J29" s="5"/>
      <c r="L29" s="6"/>
      <c r="M29" s="483" t="s">
        <v>107</v>
      </c>
      <c r="N29" s="5"/>
      <c r="O29" s="5"/>
      <c r="P29" s="5"/>
      <c r="Q29" s="5"/>
      <c r="R29" s="5"/>
      <c r="S29" s="6"/>
      <c r="T29" s="5"/>
      <c r="U29" s="5"/>
      <c r="W29" s="26"/>
      <c r="X29" s="483" t="s">
        <v>107</v>
      </c>
      <c r="Y29" s="5"/>
      <c r="Z29" s="5"/>
      <c r="AA29" s="5"/>
      <c r="AB29" s="5"/>
      <c r="AC29" s="5"/>
      <c r="AD29" s="6"/>
      <c r="AE29" s="5"/>
      <c r="AF29" s="5"/>
    </row>
    <row r="30" spans="1:32">
      <c r="A30" s="481" t="s">
        <v>149</v>
      </c>
      <c r="B30" s="369">
        <v>517170</v>
      </c>
      <c r="C30" s="5"/>
      <c r="D30" s="5"/>
      <c r="E30" s="5"/>
      <c r="F30" s="5"/>
      <c r="G30" s="5"/>
      <c r="H30" s="6"/>
      <c r="I30" s="5"/>
      <c r="J30" s="5"/>
      <c r="L30" s="481" t="s">
        <v>149</v>
      </c>
      <c r="M30" s="369">
        <f>J14-B30</f>
        <v>-39190.015296796628</v>
      </c>
      <c r="N30" s="5"/>
      <c r="O30" s="5"/>
      <c r="P30" s="5"/>
      <c r="Q30" s="5"/>
      <c r="R30" s="5"/>
      <c r="S30" s="6"/>
      <c r="T30" s="5"/>
      <c r="U30" s="5"/>
      <c r="W30" s="481" t="s">
        <v>149</v>
      </c>
      <c r="X30" s="482">
        <f>M30/B30</f>
        <v>-7.5777820246334143E-2</v>
      </c>
      <c r="Y30" s="5"/>
      <c r="Z30" s="5"/>
      <c r="AA30" s="5"/>
      <c r="AB30" s="5"/>
      <c r="AC30" s="5"/>
      <c r="AD30" s="6"/>
      <c r="AE30" s="5"/>
      <c r="AF30" s="5"/>
    </row>
    <row r="31" spans="1:32">
      <c r="A31" s="481" t="s">
        <v>150</v>
      </c>
      <c r="B31" s="369">
        <v>103677</v>
      </c>
      <c r="L31" s="481" t="s">
        <v>150</v>
      </c>
      <c r="M31" s="369">
        <f>J15-B31</f>
        <v>-2079</v>
      </c>
      <c r="W31" s="481" t="s">
        <v>150</v>
      </c>
      <c r="X31" s="482">
        <f>M31/B31</f>
        <v>-2.0052663560866924E-2</v>
      </c>
    </row>
    <row r="32" spans="1:32">
      <c r="A32" s="481" t="s">
        <v>151</v>
      </c>
      <c r="B32" s="369">
        <f>SUM(B30:B31)</f>
        <v>620847</v>
      </c>
      <c r="L32" s="481" t="s">
        <v>151</v>
      </c>
      <c r="M32" s="369">
        <f>J16-B32</f>
        <v>-41269.01529679657</v>
      </c>
      <c r="W32" s="481" t="s">
        <v>151</v>
      </c>
      <c r="X32" s="482">
        <f>M32/B32</f>
        <v>-6.647211840726712E-2</v>
      </c>
    </row>
    <row r="34" spans="1:32" ht="14.25">
      <c r="A34" s="6" t="s">
        <v>154</v>
      </c>
      <c r="B34" s="5"/>
      <c r="C34" s="5"/>
      <c r="D34" s="6"/>
      <c r="E34" s="5"/>
      <c r="F34" s="472"/>
      <c r="G34" s="5"/>
      <c r="H34" s="5"/>
      <c r="I34" s="5"/>
      <c r="J34" s="5"/>
    </row>
    <row r="35" spans="1:32">
      <c r="A35" s="5"/>
      <c r="B35" s="5"/>
      <c r="C35" s="5"/>
      <c r="D35" s="6"/>
      <c r="E35" s="5"/>
      <c r="F35" s="5"/>
      <c r="G35" s="5"/>
      <c r="H35" s="5"/>
      <c r="I35" s="5"/>
      <c r="J35" s="5"/>
    </row>
    <row r="36" spans="1:32" ht="12.75" customHeight="1">
      <c r="A36" s="8"/>
      <c r="B36" s="306" t="s">
        <v>2</v>
      </c>
      <c r="C36" s="307"/>
      <c r="D36" s="307"/>
      <c r="E36" s="308"/>
      <c r="F36" s="309" t="s">
        <v>3</v>
      </c>
      <c r="G36" s="310" t="s">
        <v>4</v>
      </c>
      <c r="H36" s="310"/>
      <c r="I36" s="311"/>
      <c r="J36" s="383"/>
    </row>
    <row r="37" spans="1:32">
      <c r="A37" s="17"/>
      <c r="B37" s="314"/>
      <c r="C37" s="315"/>
      <c r="D37" s="315"/>
      <c r="E37" s="316"/>
      <c r="F37" s="317"/>
      <c r="G37" s="318"/>
      <c r="H37" s="318"/>
      <c r="I37" s="319"/>
      <c r="J37" s="517"/>
    </row>
    <row r="38" spans="1:32" ht="25.5">
      <c r="A38" s="26"/>
      <c r="B38" s="322">
        <v>2014</v>
      </c>
      <c r="C38" s="389">
        <v>2015</v>
      </c>
      <c r="D38" s="389">
        <v>2016</v>
      </c>
      <c r="E38" s="390">
        <v>2017</v>
      </c>
      <c r="F38" s="389">
        <v>2018</v>
      </c>
      <c r="G38" s="390">
        <v>2019</v>
      </c>
      <c r="H38" s="389">
        <v>2020</v>
      </c>
      <c r="I38" s="391">
        <v>2021</v>
      </c>
      <c r="J38" s="392" t="s">
        <v>5</v>
      </c>
    </row>
    <row r="39" spans="1:32">
      <c r="A39" s="481" t="s">
        <v>155</v>
      </c>
      <c r="B39" s="518">
        <f t="shared" ref="B39:E39" si="4">+B48</f>
        <v>22.401576119352899</v>
      </c>
      <c r="C39" s="518">
        <f t="shared" si="4"/>
        <v>30.307226</v>
      </c>
      <c r="D39" s="518">
        <f t="shared" si="4"/>
        <v>13.658168</v>
      </c>
      <c r="E39" s="518">
        <f t="shared" si="4"/>
        <v>15.100504300000001</v>
      </c>
      <c r="F39" s="518">
        <v>16.3519814</v>
      </c>
      <c r="G39" s="519">
        <v>17.675104521833372</v>
      </c>
      <c r="H39" s="519">
        <v>16.876571068498876</v>
      </c>
      <c r="I39" s="519">
        <v>16.878008165438715</v>
      </c>
      <c r="J39" s="369">
        <f>SUM(B39:I39)</f>
        <v>149.24913957512388</v>
      </c>
    </row>
    <row r="40" spans="1:32">
      <c r="A40" s="481" t="s">
        <v>156</v>
      </c>
      <c r="B40" s="518">
        <v>4.8</v>
      </c>
      <c r="C40" s="518">
        <v>4.2</v>
      </c>
      <c r="D40" s="518">
        <v>4.4000000000000004</v>
      </c>
      <c r="E40" s="518">
        <v>4.8</v>
      </c>
      <c r="F40" s="518">
        <v>5.6306832599999987</v>
      </c>
      <c r="G40" s="519">
        <f>F40/F15*G15</f>
        <v>5.296471784599678</v>
      </c>
      <c r="H40" s="519">
        <f t="shared" ref="H40:I40" si="5">G40/G15*H15</f>
        <v>5.2143559429779778</v>
      </c>
      <c r="I40" s="519">
        <f t="shared" si="5"/>
        <v>5.1322401013562775</v>
      </c>
      <c r="J40" s="369">
        <f>SUM(B40:I40)</f>
        <v>39.473751088933923</v>
      </c>
    </row>
    <row r="41" spans="1:32">
      <c r="A41" s="481" t="s">
        <v>151</v>
      </c>
      <c r="B41" s="369">
        <f t="shared" ref="B41:I41" si="6">SUM(B39:B40)</f>
        <v>27.2015761193529</v>
      </c>
      <c r="C41" s="369">
        <f t="shared" si="6"/>
        <v>34.507226000000003</v>
      </c>
      <c r="D41" s="369">
        <f t="shared" si="6"/>
        <v>18.058168000000002</v>
      </c>
      <c r="E41" s="369">
        <f t="shared" si="6"/>
        <v>19.900504300000001</v>
      </c>
      <c r="F41" s="369">
        <f t="shared" si="6"/>
        <v>21.982664659999998</v>
      </c>
      <c r="G41" s="369">
        <f t="shared" si="6"/>
        <v>22.97157630643305</v>
      </c>
      <c r="H41" s="369">
        <f t="shared" si="6"/>
        <v>22.090927011476854</v>
      </c>
      <c r="I41" s="369">
        <f t="shared" si="6"/>
        <v>22.010248266794992</v>
      </c>
      <c r="J41" s="369">
        <f>SUM(B41:I41)</f>
        <v>188.72289066405781</v>
      </c>
    </row>
    <row r="43" spans="1:32" ht="14.25">
      <c r="A43" s="6" t="s">
        <v>157</v>
      </c>
      <c r="B43" s="5"/>
      <c r="C43" s="5"/>
      <c r="D43" s="6"/>
      <c r="E43" s="5"/>
      <c r="F43" s="472"/>
      <c r="G43" s="5"/>
      <c r="H43" s="5"/>
      <c r="I43" s="5"/>
      <c r="J43" s="5"/>
      <c r="L43" s="6" t="s">
        <v>48</v>
      </c>
      <c r="M43" s="5"/>
      <c r="N43" s="5"/>
      <c r="O43" s="6"/>
      <c r="P43" s="5"/>
      <c r="Q43" s="472"/>
      <c r="R43" s="5"/>
      <c r="S43" s="5"/>
      <c r="T43" s="5"/>
      <c r="U43" s="5"/>
      <c r="W43" s="6" t="s">
        <v>49</v>
      </c>
      <c r="X43" s="5"/>
      <c r="Y43" s="5"/>
      <c r="Z43" s="6"/>
      <c r="AA43" s="5"/>
      <c r="AB43" s="472"/>
      <c r="AC43" s="5"/>
      <c r="AD43" s="5"/>
      <c r="AE43" s="5"/>
      <c r="AF43" s="5"/>
    </row>
    <row r="44" spans="1:32">
      <c r="A44" s="5"/>
      <c r="B44" s="5"/>
      <c r="C44" s="5"/>
      <c r="D44" s="6"/>
      <c r="E44" s="5"/>
      <c r="F44" s="5"/>
      <c r="G44" s="5"/>
      <c r="H44" s="5"/>
      <c r="I44" s="5"/>
      <c r="J44" s="5"/>
      <c r="L44" s="5"/>
      <c r="M44" s="5"/>
      <c r="N44" s="5"/>
      <c r="O44" s="6"/>
      <c r="P44" s="5"/>
      <c r="Q44" s="5"/>
      <c r="R44" s="5"/>
      <c r="S44" s="5"/>
      <c r="T44" s="5"/>
      <c r="U44" s="5"/>
      <c r="W44" s="5"/>
      <c r="X44" s="5"/>
      <c r="Y44" s="5"/>
      <c r="Z44" s="6"/>
      <c r="AA44" s="5"/>
      <c r="AB44" s="5"/>
      <c r="AC44" s="5"/>
      <c r="AD44" s="5"/>
      <c r="AE44" s="5"/>
      <c r="AF44" s="5"/>
    </row>
    <row r="45" spans="1:32" ht="12.75" customHeight="1">
      <c r="A45" s="8"/>
      <c r="B45" s="306" t="s">
        <v>2</v>
      </c>
      <c r="C45" s="307"/>
      <c r="D45" s="307"/>
      <c r="E45" s="308"/>
      <c r="F45" s="309" t="s">
        <v>3</v>
      </c>
      <c r="G45" s="310" t="s">
        <v>4</v>
      </c>
      <c r="H45" s="310"/>
      <c r="I45" s="311"/>
      <c r="J45" s="383"/>
      <c r="L45" s="8"/>
      <c r="M45" s="306" t="s">
        <v>2</v>
      </c>
      <c r="N45" s="307"/>
      <c r="O45" s="308"/>
      <c r="P45" s="309" t="s">
        <v>3</v>
      </c>
      <c r="Q45" s="382" t="s">
        <v>4</v>
      </c>
      <c r="R45" s="310"/>
      <c r="S45" s="310"/>
      <c r="T45" s="311"/>
      <c r="U45" s="383"/>
      <c r="W45" s="8"/>
      <c r="X45" s="306" t="s">
        <v>2</v>
      </c>
      <c r="Y45" s="307"/>
      <c r="Z45" s="308"/>
      <c r="AA45" s="309" t="s">
        <v>3</v>
      </c>
      <c r="AB45" s="382" t="s">
        <v>4</v>
      </c>
      <c r="AC45" s="310"/>
      <c r="AD45" s="310"/>
      <c r="AE45" s="311"/>
      <c r="AF45" s="383"/>
    </row>
    <row r="46" spans="1:32">
      <c r="A46" s="17"/>
      <c r="B46" s="314"/>
      <c r="C46" s="315"/>
      <c r="D46" s="315"/>
      <c r="E46" s="316"/>
      <c r="F46" s="317"/>
      <c r="G46" s="318"/>
      <c r="H46" s="318"/>
      <c r="I46" s="319"/>
      <c r="J46" s="517"/>
      <c r="L46" s="17"/>
      <c r="M46" s="314"/>
      <c r="N46" s="315"/>
      <c r="O46" s="316"/>
      <c r="P46" s="317"/>
      <c r="Q46" s="385"/>
      <c r="R46" s="318"/>
      <c r="S46" s="318"/>
      <c r="T46" s="319"/>
      <c r="U46" s="517"/>
      <c r="W46" s="17"/>
      <c r="X46" s="314"/>
      <c r="Y46" s="315"/>
      <c r="Z46" s="316"/>
      <c r="AA46" s="317"/>
      <c r="AB46" s="385"/>
      <c r="AC46" s="318"/>
      <c r="AD46" s="318"/>
      <c r="AE46" s="319"/>
      <c r="AF46" s="517"/>
    </row>
    <row r="47" spans="1:32" ht="51" customHeight="1">
      <c r="A47" s="26"/>
      <c r="B47" s="322">
        <v>2014</v>
      </c>
      <c r="C47" s="389">
        <v>2015</v>
      </c>
      <c r="D47" s="389">
        <v>2016</v>
      </c>
      <c r="E47" s="390">
        <v>2017</v>
      </c>
      <c r="F47" s="389">
        <v>2018</v>
      </c>
      <c r="G47" s="390">
        <v>2019</v>
      </c>
      <c r="H47" s="389">
        <v>2020</v>
      </c>
      <c r="I47" s="391">
        <v>2021</v>
      </c>
      <c r="J47" s="392" t="s">
        <v>5</v>
      </c>
      <c r="L47" s="26"/>
      <c r="M47" s="322">
        <v>2014</v>
      </c>
      <c r="N47" s="389">
        <v>2015</v>
      </c>
      <c r="O47" s="389">
        <v>2016</v>
      </c>
      <c r="P47" s="390">
        <v>2017</v>
      </c>
      <c r="Q47" s="389">
        <v>2018</v>
      </c>
      <c r="R47" s="390">
        <v>2019</v>
      </c>
      <c r="S47" s="389">
        <v>2020</v>
      </c>
      <c r="T47" s="391">
        <v>2021</v>
      </c>
      <c r="U47" s="392" t="s">
        <v>5</v>
      </c>
      <c r="W47" s="26"/>
      <c r="X47" s="322">
        <v>2014</v>
      </c>
      <c r="Y47" s="389">
        <v>2015</v>
      </c>
      <c r="Z47" s="389">
        <v>2016</v>
      </c>
      <c r="AA47" s="390">
        <v>2017</v>
      </c>
      <c r="AB47" s="389">
        <v>2018</v>
      </c>
      <c r="AC47" s="390">
        <v>2019</v>
      </c>
      <c r="AD47" s="389">
        <v>2020</v>
      </c>
      <c r="AE47" s="391">
        <v>2021</v>
      </c>
      <c r="AF47" s="392" t="s">
        <v>5</v>
      </c>
    </row>
    <row r="48" spans="1:32">
      <c r="A48" s="481" t="s">
        <v>155</v>
      </c>
      <c r="B48" s="369">
        <v>22.401576119352899</v>
      </c>
      <c r="C48" s="369">
        <v>30.307226</v>
      </c>
      <c r="D48" s="369">
        <v>13.658168</v>
      </c>
      <c r="E48" s="369">
        <v>15.100504300000001</v>
      </c>
      <c r="F48" s="369">
        <v>20.043887180727232</v>
      </c>
      <c r="G48" s="369">
        <v>20.812816708393893</v>
      </c>
      <c r="H48" s="369">
        <v>17.769772778278554</v>
      </c>
      <c r="I48" s="369">
        <v>17.759419149246302</v>
      </c>
      <c r="J48" s="369">
        <f>SUM(B48:I48)</f>
        <v>157.85337023599888</v>
      </c>
      <c r="L48" s="481" t="s">
        <v>149</v>
      </c>
      <c r="M48" s="369">
        <f t="shared" ref="M48:U50" si="7">B39-B48</f>
        <v>0</v>
      </c>
      <c r="N48" s="369">
        <f t="shared" si="7"/>
        <v>0</v>
      </c>
      <c r="O48" s="369">
        <f t="shared" si="7"/>
        <v>0</v>
      </c>
      <c r="P48" s="369">
        <f t="shared" si="7"/>
        <v>0</v>
      </c>
      <c r="Q48" s="369">
        <f t="shared" si="7"/>
        <v>-3.6919057807272324</v>
      </c>
      <c r="R48" s="369">
        <f t="shared" si="7"/>
        <v>-3.1377121865605204</v>
      </c>
      <c r="S48" s="369">
        <f t="shared" si="7"/>
        <v>-0.89320170977967805</v>
      </c>
      <c r="T48" s="369">
        <f t="shared" si="7"/>
        <v>-0.8814109838075872</v>
      </c>
      <c r="U48" s="369">
        <f t="shared" si="7"/>
        <v>-8.6042306608750039</v>
      </c>
      <c r="W48" s="481" t="s">
        <v>149</v>
      </c>
      <c r="X48" s="482">
        <f t="shared" ref="X48:AF50" si="8">M48/B48</f>
        <v>0</v>
      </c>
      <c r="Y48" s="482">
        <f t="shared" si="8"/>
        <v>0</v>
      </c>
      <c r="Z48" s="482">
        <f t="shared" si="8"/>
        <v>0</v>
      </c>
      <c r="AA48" s="482">
        <f t="shared" si="8"/>
        <v>0</v>
      </c>
      <c r="AB48" s="482">
        <f t="shared" si="8"/>
        <v>-0.18419110761494931</v>
      </c>
      <c r="AC48" s="482">
        <f t="shared" si="8"/>
        <v>-0.15075865177321571</v>
      </c>
      <c r="AD48" s="482">
        <f t="shared" si="8"/>
        <v>-5.0265229664135692E-2</v>
      </c>
      <c r="AE48" s="482">
        <f t="shared" si="8"/>
        <v>-4.9630620033256759E-2</v>
      </c>
      <c r="AF48" s="482">
        <f t="shared" si="8"/>
        <v>-5.4507741253868938E-2</v>
      </c>
    </row>
    <row r="49" spans="1:32">
      <c r="A49" s="481" t="s">
        <v>156</v>
      </c>
      <c r="B49" s="369">
        <v>4.8207040199999893</v>
      </c>
      <c r="C49" s="369">
        <v>4.168099740000005</v>
      </c>
      <c r="D49" s="369">
        <v>11.83734132</v>
      </c>
      <c r="E49" s="369">
        <v>9.5273931999999988</v>
      </c>
      <c r="F49" s="369">
        <v>6.7197560000000003</v>
      </c>
      <c r="G49" s="369">
        <v>6.6691279999999997</v>
      </c>
      <c r="H49" s="369">
        <v>6.6196719999999996</v>
      </c>
      <c r="I49" s="369">
        <v>6.5703360000000002</v>
      </c>
      <c r="J49" s="369">
        <f>SUM(B49:I49)</f>
        <v>56.932430279999998</v>
      </c>
      <c r="L49" s="481" t="s">
        <v>150</v>
      </c>
      <c r="M49" s="369">
        <f t="shared" si="7"/>
        <v>-2.0704019999989498E-2</v>
      </c>
      <c r="N49" s="369">
        <f t="shared" si="7"/>
        <v>3.1900259999995129E-2</v>
      </c>
      <c r="O49" s="369">
        <f t="shared" si="7"/>
        <v>-7.4373413199999998</v>
      </c>
      <c r="P49" s="369">
        <f t="shared" si="7"/>
        <v>-4.727393199999999</v>
      </c>
      <c r="Q49" s="369">
        <f t="shared" si="7"/>
        <v>-1.0890727400000015</v>
      </c>
      <c r="R49" s="369">
        <f t="shared" si="7"/>
        <v>-1.3726562154003217</v>
      </c>
      <c r="S49" s="369">
        <f t="shared" si="7"/>
        <v>-1.4053160570220218</v>
      </c>
      <c r="T49" s="369">
        <f t="shared" si="7"/>
        <v>-1.4380958986437227</v>
      </c>
      <c r="U49" s="369">
        <f t="shared" si="7"/>
        <v>-17.458679191066075</v>
      </c>
      <c r="W49" s="481" t="s">
        <v>150</v>
      </c>
      <c r="X49" s="482">
        <f t="shared" si="8"/>
        <v>-4.2948125240822284E-3</v>
      </c>
      <c r="Y49" s="482">
        <f t="shared" si="8"/>
        <v>7.6534300976192782E-3</v>
      </c>
      <c r="Z49" s="482">
        <f t="shared" si="8"/>
        <v>-0.62829491174965968</v>
      </c>
      <c r="AA49" s="482">
        <f t="shared" si="8"/>
        <v>-0.49618957680890086</v>
      </c>
      <c r="AB49" s="482">
        <f t="shared" si="8"/>
        <v>-0.1620702805280432</v>
      </c>
      <c r="AC49" s="482">
        <f t="shared" si="8"/>
        <v>-0.20582244266421662</v>
      </c>
      <c r="AD49" s="482">
        <f t="shared" si="8"/>
        <v>-0.21229391078923879</v>
      </c>
      <c r="AE49" s="482">
        <f t="shared" si="8"/>
        <v>-0.21887707092053171</v>
      </c>
      <c r="AF49" s="482">
        <f t="shared" si="8"/>
        <v>-0.3066561379024636</v>
      </c>
    </row>
    <row r="50" spans="1:32">
      <c r="A50" s="481" t="s">
        <v>151</v>
      </c>
      <c r="B50" s="369">
        <f>SUM(B48:B49)</f>
        <v>27.22228013935289</v>
      </c>
      <c r="C50" s="369">
        <f t="shared" ref="C50:I50" si="9">SUM(C48:C49)</f>
        <v>34.475325740000002</v>
      </c>
      <c r="D50" s="369">
        <f t="shared" si="9"/>
        <v>25.49550932</v>
      </c>
      <c r="E50" s="369">
        <f t="shared" si="9"/>
        <v>24.6278975</v>
      </c>
      <c r="F50" s="369">
        <f t="shared" si="9"/>
        <v>26.763643180727232</v>
      </c>
      <c r="G50" s="369">
        <f t="shared" si="9"/>
        <v>27.481944708393893</v>
      </c>
      <c r="H50" s="369">
        <f t="shared" si="9"/>
        <v>24.389444778278552</v>
      </c>
      <c r="I50" s="369">
        <f t="shared" si="9"/>
        <v>24.329755149246303</v>
      </c>
      <c r="J50" s="369">
        <f>SUM(B50:I50)</f>
        <v>214.78580051599886</v>
      </c>
      <c r="L50" s="481" t="s">
        <v>151</v>
      </c>
      <c r="M50" s="369">
        <f t="shared" si="7"/>
        <v>-2.0704019999989498E-2</v>
      </c>
      <c r="N50" s="369">
        <f t="shared" si="7"/>
        <v>3.1900260000000458E-2</v>
      </c>
      <c r="O50" s="369">
        <f t="shared" si="7"/>
        <v>-7.437341319999998</v>
      </c>
      <c r="P50" s="369">
        <f t="shared" si="7"/>
        <v>-4.7273931999999981</v>
      </c>
      <c r="Q50" s="369">
        <f t="shared" si="7"/>
        <v>-4.7809785207272348</v>
      </c>
      <c r="R50" s="369">
        <f t="shared" si="7"/>
        <v>-4.510368401960843</v>
      </c>
      <c r="S50" s="369">
        <f t="shared" si="7"/>
        <v>-2.2985177668016981</v>
      </c>
      <c r="T50" s="369">
        <f t="shared" si="7"/>
        <v>-2.3195068824513108</v>
      </c>
      <c r="U50" s="369">
        <f t="shared" si="7"/>
        <v>-26.062909851941043</v>
      </c>
      <c r="W50" s="481" t="s">
        <v>151</v>
      </c>
      <c r="X50" s="482">
        <f t="shared" si="8"/>
        <v>-7.6055421860344067E-4</v>
      </c>
      <c r="Y50" s="482">
        <f t="shared" si="8"/>
        <v>9.253069931979838E-4</v>
      </c>
      <c r="Z50" s="482">
        <f t="shared" si="8"/>
        <v>-0.29171181585949968</v>
      </c>
      <c r="AA50" s="482">
        <f t="shared" si="8"/>
        <v>-0.19195277225755866</v>
      </c>
      <c r="AB50" s="482">
        <f t="shared" si="8"/>
        <v>-0.1786370595528663</v>
      </c>
      <c r="AC50" s="482">
        <f t="shared" si="8"/>
        <v>-0.16412115117105333</v>
      </c>
      <c r="AD50" s="482">
        <f t="shared" si="8"/>
        <v>-9.4242316202654094E-2</v>
      </c>
      <c r="AE50" s="482">
        <f t="shared" si="8"/>
        <v>-9.5336219712148049E-2</v>
      </c>
      <c r="AF50" s="482">
        <f t="shared" si="8"/>
        <v>-0.12134372844633033</v>
      </c>
    </row>
    <row r="52" spans="1:32" ht="14.25">
      <c r="A52" s="6" t="s">
        <v>158</v>
      </c>
      <c r="B52" s="5"/>
      <c r="C52" s="5"/>
      <c r="D52" s="6"/>
      <c r="E52" s="5"/>
      <c r="F52" s="472"/>
      <c r="G52" s="5"/>
      <c r="H52" s="5"/>
      <c r="I52" s="5"/>
      <c r="J52" s="5"/>
      <c r="L52" s="6" t="s">
        <v>108</v>
      </c>
      <c r="M52" s="5"/>
      <c r="N52" s="5"/>
      <c r="O52" s="6"/>
      <c r="P52" s="5"/>
      <c r="Q52" s="472"/>
      <c r="R52" s="5"/>
      <c r="S52" s="5"/>
      <c r="T52" s="5"/>
      <c r="U52" s="5"/>
      <c r="W52" s="6" t="s">
        <v>108</v>
      </c>
      <c r="X52" s="5"/>
      <c r="Y52" s="5"/>
      <c r="Z52" s="6"/>
      <c r="AA52" s="5"/>
      <c r="AB52" s="472"/>
      <c r="AC52" s="5"/>
      <c r="AD52" s="5"/>
      <c r="AE52" s="5"/>
      <c r="AF52" s="5"/>
    </row>
    <row r="53" spans="1:32">
      <c r="A53" s="5"/>
      <c r="B53" s="5"/>
      <c r="C53" s="5"/>
      <c r="D53" s="6"/>
      <c r="E53" s="5"/>
      <c r="F53" s="5"/>
      <c r="G53" s="5"/>
      <c r="H53" s="5"/>
      <c r="I53" s="5"/>
      <c r="J53" s="5"/>
      <c r="L53" s="5"/>
      <c r="M53" s="5"/>
      <c r="N53" s="5"/>
      <c r="O53" s="6"/>
      <c r="P53" s="5"/>
      <c r="Q53" s="5"/>
      <c r="R53" s="5"/>
      <c r="S53" s="5"/>
      <c r="T53" s="5"/>
      <c r="U53" s="5"/>
      <c r="W53" s="5"/>
      <c r="X53" s="5"/>
      <c r="Y53" s="5"/>
      <c r="Z53" s="6"/>
      <c r="AA53" s="5"/>
      <c r="AB53" s="5"/>
      <c r="AC53" s="5"/>
      <c r="AD53" s="5"/>
      <c r="AE53" s="5"/>
      <c r="AF53" s="5"/>
    </row>
    <row r="54" spans="1:32" ht="25.5">
      <c r="A54" s="26"/>
      <c r="B54" s="483" t="s">
        <v>107</v>
      </c>
      <c r="C54" s="5"/>
      <c r="D54" s="5"/>
      <c r="E54" s="5"/>
      <c r="F54" s="5"/>
      <c r="G54" s="5"/>
      <c r="H54" s="6"/>
      <c r="I54" s="5"/>
      <c r="J54" s="5"/>
      <c r="L54" s="6"/>
      <c r="M54" s="483" t="s">
        <v>107</v>
      </c>
      <c r="N54" s="5"/>
      <c r="O54" s="5"/>
      <c r="P54" s="5"/>
      <c r="Q54" s="5"/>
      <c r="R54" s="5"/>
      <c r="S54" s="6"/>
      <c r="T54" s="5"/>
      <c r="U54" s="5"/>
      <c r="W54" s="6"/>
      <c r="X54" s="483" t="s">
        <v>107</v>
      </c>
      <c r="Y54" s="5"/>
      <c r="Z54" s="5"/>
      <c r="AA54" s="5"/>
      <c r="AB54" s="5"/>
      <c r="AC54" s="5"/>
      <c r="AD54" s="6"/>
      <c r="AE54" s="5"/>
      <c r="AF54" s="5"/>
    </row>
    <row r="55" spans="1:32">
      <c r="A55" s="481" t="s">
        <v>155</v>
      </c>
      <c r="B55" s="369">
        <v>170</v>
      </c>
      <c r="C55" s="5"/>
      <c r="D55" s="5"/>
      <c r="E55" s="5"/>
      <c r="F55" s="5"/>
      <c r="G55" s="5"/>
      <c r="H55" s="6"/>
      <c r="I55" s="5"/>
      <c r="J55" s="5"/>
      <c r="L55" s="481" t="s">
        <v>149</v>
      </c>
      <c r="M55" s="369">
        <f>J39-B55</f>
        <v>-20.750860424876123</v>
      </c>
      <c r="N55" s="5"/>
      <c r="O55" s="5"/>
      <c r="P55" s="5"/>
      <c r="Q55" s="5"/>
      <c r="R55" s="5"/>
      <c r="S55" s="6"/>
      <c r="T55" s="5"/>
      <c r="U55" s="5"/>
      <c r="W55" s="481" t="s">
        <v>149</v>
      </c>
      <c r="X55" s="482">
        <f>M55/B55</f>
        <v>-0.12206388485221249</v>
      </c>
      <c r="Y55" s="5"/>
      <c r="Z55" s="5"/>
      <c r="AA55" s="5"/>
      <c r="AB55" s="5"/>
      <c r="AC55" s="5"/>
      <c r="AD55" s="6"/>
      <c r="AE55" s="5"/>
      <c r="AF55" s="5"/>
    </row>
    <row r="56" spans="1:32">
      <c r="A56" s="481" t="s">
        <v>156</v>
      </c>
      <c r="B56" s="369">
        <v>47</v>
      </c>
      <c r="L56" s="481" t="s">
        <v>150</v>
      </c>
      <c r="M56" s="369">
        <f>J40-B56</f>
        <v>-7.5262489110660766</v>
      </c>
      <c r="W56" s="481" t="s">
        <v>150</v>
      </c>
      <c r="X56" s="482">
        <f>M56/B56</f>
        <v>-0.16013295555459736</v>
      </c>
    </row>
    <row r="57" spans="1:32">
      <c r="A57" s="481" t="s">
        <v>151</v>
      </c>
      <c r="B57" s="369">
        <f>SUM(B55:B56)</f>
        <v>217</v>
      </c>
      <c r="L57" s="481" t="s">
        <v>151</v>
      </c>
      <c r="M57" s="369">
        <f>J41-B57</f>
        <v>-28.277109335942185</v>
      </c>
      <c r="W57" s="481" t="s">
        <v>151</v>
      </c>
      <c r="X57" s="482">
        <f>M57/B57</f>
        <v>-0.13030925961263681</v>
      </c>
    </row>
    <row r="61" spans="1:32" ht="15">
      <c r="A61" s="471" t="s">
        <v>159</v>
      </c>
      <c r="B61" s="5"/>
      <c r="C61" s="5"/>
      <c r="D61" s="6"/>
      <c r="E61" s="5"/>
      <c r="F61" s="5"/>
      <c r="G61" s="5"/>
      <c r="H61" s="5"/>
      <c r="I61" s="5"/>
      <c r="J61" s="5"/>
    </row>
    <row r="62" spans="1:32">
      <c r="A62" s="5"/>
      <c r="B62" s="5"/>
      <c r="C62" s="5"/>
      <c r="D62" s="6"/>
      <c r="E62" s="5"/>
      <c r="F62" s="5"/>
      <c r="G62" s="5"/>
      <c r="H62" s="5"/>
      <c r="I62" s="5"/>
      <c r="J62" s="5"/>
    </row>
    <row r="63" spans="1:32" ht="14.25">
      <c r="A63" s="6" t="s">
        <v>160</v>
      </c>
      <c r="B63" s="5"/>
      <c r="C63" s="5"/>
      <c r="D63" s="6"/>
      <c r="E63" s="5"/>
      <c r="F63" s="472"/>
      <c r="G63" s="5"/>
      <c r="H63" s="5"/>
      <c r="I63" s="5"/>
      <c r="J63" s="5"/>
    </row>
    <row r="64" spans="1:32">
      <c r="A64" s="5"/>
      <c r="B64" s="5"/>
      <c r="C64" s="5"/>
      <c r="D64" s="6"/>
      <c r="E64" s="5"/>
      <c r="F64" s="5"/>
      <c r="G64" s="5"/>
      <c r="H64" s="5"/>
      <c r="I64" s="5"/>
      <c r="J64" s="5"/>
    </row>
    <row r="65" spans="1:32" ht="12.75" customHeight="1">
      <c r="A65" s="8"/>
      <c r="B65" s="306" t="s">
        <v>2</v>
      </c>
      <c r="C65" s="307"/>
      <c r="D65" s="307"/>
      <c r="E65" s="308"/>
      <c r="F65" s="309" t="s">
        <v>3</v>
      </c>
      <c r="G65" s="382" t="s">
        <v>4</v>
      </c>
      <c r="H65" s="310"/>
      <c r="I65" s="311"/>
      <c r="J65" s="383"/>
    </row>
    <row r="66" spans="1:32">
      <c r="A66" s="17"/>
      <c r="B66" s="314"/>
      <c r="C66" s="315"/>
      <c r="D66" s="315"/>
      <c r="E66" s="316"/>
      <c r="F66" s="317"/>
      <c r="G66" s="385"/>
      <c r="H66" s="318"/>
      <c r="I66" s="319"/>
      <c r="J66" s="517"/>
    </row>
    <row r="67" spans="1:32" ht="25.5">
      <c r="A67" s="26"/>
      <c r="B67" s="322">
        <v>2014</v>
      </c>
      <c r="C67" s="389">
        <v>2015</v>
      </c>
      <c r="D67" s="389">
        <v>2016</v>
      </c>
      <c r="E67" s="390">
        <v>2017</v>
      </c>
      <c r="F67" s="389">
        <v>2018</v>
      </c>
      <c r="G67" s="390">
        <v>2019</v>
      </c>
      <c r="H67" s="389">
        <v>2020</v>
      </c>
      <c r="I67" s="391">
        <v>2021</v>
      </c>
      <c r="J67" s="392" t="s">
        <v>5</v>
      </c>
    </row>
    <row r="68" spans="1:32">
      <c r="A68" s="481" t="s">
        <v>161</v>
      </c>
      <c r="B68" s="369">
        <v>105</v>
      </c>
      <c r="C68" s="369">
        <v>63</v>
      </c>
      <c r="D68" s="369">
        <v>135</v>
      </c>
      <c r="E68" s="520">
        <v>63</v>
      </c>
      <c r="F68" s="520">
        <v>95</v>
      </c>
      <c r="G68" s="368">
        <v>90.469680000000011</v>
      </c>
      <c r="H68" s="368">
        <v>84.930720000000022</v>
      </c>
      <c r="I68" s="368">
        <v>79.391759999999991</v>
      </c>
      <c r="J68" s="369">
        <f>SUM(B68:I68)</f>
        <v>715.79216000000008</v>
      </c>
    </row>
    <row r="70" spans="1:32" ht="14.25">
      <c r="A70" s="6" t="s">
        <v>162</v>
      </c>
      <c r="B70" s="5"/>
      <c r="C70" s="5"/>
      <c r="D70" s="6"/>
      <c r="E70" s="5"/>
      <c r="F70" s="472"/>
      <c r="G70" s="5"/>
      <c r="H70" s="5"/>
      <c r="I70" s="5"/>
      <c r="J70" s="5"/>
      <c r="L70" s="6" t="s">
        <v>48</v>
      </c>
      <c r="M70" s="5"/>
      <c r="N70" s="5"/>
      <c r="O70" s="6"/>
      <c r="P70" s="5"/>
      <c r="Q70" s="472"/>
      <c r="R70" s="5"/>
      <c r="S70" s="5"/>
      <c r="T70" s="5"/>
      <c r="U70" s="5"/>
      <c r="W70" s="6" t="s">
        <v>49</v>
      </c>
      <c r="X70" s="5"/>
      <c r="Y70" s="5"/>
      <c r="Z70" s="6"/>
      <c r="AA70" s="5"/>
      <c r="AB70" s="472"/>
      <c r="AC70" s="5"/>
      <c r="AD70" s="5"/>
      <c r="AE70" s="5"/>
      <c r="AF70" s="5"/>
    </row>
    <row r="71" spans="1:32">
      <c r="A71" s="5"/>
      <c r="B71" s="5"/>
      <c r="C71" s="5"/>
      <c r="D71" s="6"/>
      <c r="E71" s="5"/>
      <c r="F71" s="5"/>
      <c r="G71" s="5"/>
      <c r="H71" s="5"/>
      <c r="I71" s="5"/>
      <c r="J71" s="5"/>
      <c r="L71" s="5"/>
      <c r="M71" s="5"/>
      <c r="N71" s="5"/>
      <c r="O71" s="6"/>
      <c r="P71" s="5"/>
      <c r="Q71" s="5"/>
      <c r="R71" s="5"/>
      <c r="S71" s="5"/>
      <c r="T71" s="5"/>
      <c r="U71" s="5"/>
      <c r="W71" s="5"/>
      <c r="X71" s="5"/>
      <c r="Y71" s="5"/>
      <c r="Z71" s="6"/>
      <c r="AA71" s="5"/>
      <c r="AB71" s="5"/>
      <c r="AC71" s="5"/>
      <c r="AD71" s="5"/>
      <c r="AE71" s="5"/>
      <c r="AF71" s="5"/>
    </row>
    <row r="72" spans="1:32" ht="12.75" customHeight="1">
      <c r="A72" s="8"/>
      <c r="B72" s="521" t="s">
        <v>2</v>
      </c>
      <c r="C72" s="522"/>
      <c r="D72" s="522"/>
      <c r="E72" s="523"/>
      <c r="F72" s="382" t="s">
        <v>105</v>
      </c>
      <c r="G72" s="310"/>
      <c r="H72" s="310"/>
      <c r="I72" s="311"/>
      <c r="J72" s="383"/>
      <c r="L72" s="8"/>
      <c r="M72" s="306" t="s">
        <v>2</v>
      </c>
      <c r="N72" s="308"/>
      <c r="O72" s="309" t="s">
        <v>3</v>
      </c>
      <c r="P72" s="524" t="s">
        <v>4</v>
      </c>
      <c r="Q72" s="524"/>
      <c r="R72" s="524"/>
      <c r="S72" s="524"/>
      <c r="T72" s="524"/>
      <c r="U72" s="383"/>
      <c r="W72" s="8"/>
      <c r="X72" s="381" t="s">
        <v>2</v>
      </c>
      <c r="Y72" s="307" t="s">
        <v>4</v>
      </c>
      <c r="Z72" s="307"/>
      <c r="AA72" s="307"/>
      <c r="AB72" s="307"/>
      <c r="AC72" s="307"/>
      <c r="AD72" s="307"/>
      <c r="AE72" s="308"/>
      <c r="AF72" s="383"/>
    </row>
    <row r="73" spans="1:32">
      <c r="A73" s="17"/>
      <c r="B73" s="314"/>
      <c r="C73" s="315"/>
      <c r="D73" s="315"/>
      <c r="E73" s="316"/>
      <c r="F73" s="385"/>
      <c r="G73" s="318"/>
      <c r="H73" s="318"/>
      <c r="I73" s="319"/>
      <c r="J73" s="517"/>
      <c r="L73" s="17"/>
      <c r="M73" s="314"/>
      <c r="N73" s="316"/>
      <c r="O73" s="317"/>
      <c r="P73" s="524"/>
      <c r="Q73" s="524"/>
      <c r="R73" s="524"/>
      <c r="S73" s="524"/>
      <c r="T73" s="524"/>
      <c r="U73" s="517"/>
      <c r="W73" s="17"/>
      <c r="X73" s="381"/>
      <c r="Y73" s="315"/>
      <c r="Z73" s="315"/>
      <c r="AA73" s="315"/>
      <c r="AB73" s="315"/>
      <c r="AC73" s="315"/>
      <c r="AD73" s="315"/>
      <c r="AE73" s="316"/>
      <c r="AF73" s="517"/>
    </row>
    <row r="74" spans="1:32" ht="51" customHeight="1">
      <c r="A74" s="26"/>
      <c r="B74" s="322">
        <v>2014</v>
      </c>
      <c r="C74" s="389">
        <v>2015</v>
      </c>
      <c r="D74" s="389">
        <v>2016</v>
      </c>
      <c r="E74" s="390">
        <v>2017</v>
      </c>
      <c r="F74" s="389">
        <v>2018</v>
      </c>
      <c r="G74" s="390">
        <v>2019</v>
      </c>
      <c r="H74" s="389">
        <v>2020</v>
      </c>
      <c r="I74" s="391">
        <v>2021</v>
      </c>
      <c r="J74" s="392" t="s">
        <v>5</v>
      </c>
      <c r="L74" s="26"/>
      <c r="M74" s="322">
        <v>2014</v>
      </c>
      <c r="N74" s="389">
        <v>2015</v>
      </c>
      <c r="O74" s="389">
        <v>2016</v>
      </c>
      <c r="P74" s="390">
        <v>2017</v>
      </c>
      <c r="Q74" s="389">
        <v>2018</v>
      </c>
      <c r="R74" s="390">
        <v>2019</v>
      </c>
      <c r="S74" s="389">
        <v>2020</v>
      </c>
      <c r="T74" s="391">
        <v>2021</v>
      </c>
      <c r="U74" s="392" t="s">
        <v>5</v>
      </c>
      <c r="W74" s="26"/>
      <c r="X74" s="322">
        <v>2014</v>
      </c>
      <c r="Y74" s="389">
        <v>2015</v>
      </c>
      <c r="Z74" s="389">
        <v>2016</v>
      </c>
      <c r="AA74" s="390">
        <v>2017</v>
      </c>
      <c r="AB74" s="389">
        <v>2018</v>
      </c>
      <c r="AC74" s="390">
        <v>2019</v>
      </c>
      <c r="AD74" s="389">
        <v>2020</v>
      </c>
      <c r="AE74" s="391">
        <v>2021</v>
      </c>
      <c r="AF74" s="392" t="s">
        <v>5</v>
      </c>
    </row>
    <row r="75" spans="1:32">
      <c r="A75" s="481" t="s">
        <v>161</v>
      </c>
      <c r="B75" s="369">
        <v>105</v>
      </c>
      <c r="C75" s="369">
        <v>63</v>
      </c>
      <c r="D75" s="369">
        <v>135</v>
      </c>
      <c r="E75" s="369">
        <v>63</v>
      </c>
      <c r="F75" s="369">
        <v>92</v>
      </c>
      <c r="G75" s="369">
        <v>82</v>
      </c>
      <c r="H75" s="369">
        <v>77</v>
      </c>
      <c r="I75" s="369">
        <v>72</v>
      </c>
      <c r="J75" s="369">
        <f>SUM(B75:I75)</f>
        <v>689</v>
      </c>
      <c r="L75" s="481" t="s">
        <v>161</v>
      </c>
      <c r="M75" s="369">
        <f>B68-B75</f>
        <v>0</v>
      </c>
      <c r="N75" s="369">
        <f t="shared" ref="N75:U75" si="10">C68-C75</f>
        <v>0</v>
      </c>
      <c r="O75" s="369">
        <f t="shared" si="10"/>
        <v>0</v>
      </c>
      <c r="P75" s="369">
        <f t="shared" si="10"/>
        <v>0</v>
      </c>
      <c r="Q75" s="369">
        <f t="shared" si="10"/>
        <v>3</v>
      </c>
      <c r="R75" s="369">
        <f t="shared" si="10"/>
        <v>8.469680000000011</v>
      </c>
      <c r="S75" s="369">
        <f t="shared" si="10"/>
        <v>7.9307200000000222</v>
      </c>
      <c r="T75" s="369">
        <f t="shared" si="10"/>
        <v>7.3917599999999908</v>
      </c>
      <c r="U75" s="369">
        <f t="shared" si="10"/>
        <v>26.792160000000081</v>
      </c>
      <c r="W75" s="481" t="s">
        <v>161</v>
      </c>
      <c r="X75" s="482">
        <f>M75/B75</f>
        <v>0</v>
      </c>
      <c r="Y75" s="482">
        <f t="shared" ref="Y75:AF75" si="11">N75/C75</f>
        <v>0</v>
      </c>
      <c r="Z75" s="482">
        <f t="shared" si="11"/>
        <v>0</v>
      </c>
      <c r="AA75" s="482">
        <f t="shared" si="11"/>
        <v>0</v>
      </c>
      <c r="AB75" s="482">
        <f t="shared" si="11"/>
        <v>3.2608695652173912E-2</v>
      </c>
      <c r="AC75" s="482">
        <f t="shared" si="11"/>
        <v>0.10328878048780502</v>
      </c>
      <c r="AD75" s="482">
        <f t="shared" si="11"/>
        <v>0.10299636363636393</v>
      </c>
      <c r="AE75" s="482">
        <f t="shared" si="11"/>
        <v>0.1026633333333332</v>
      </c>
      <c r="AF75" s="482">
        <f t="shared" si="11"/>
        <v>3.8885573294630014E-2</v>
      </c>
    </row>
    <row r="77" spans="1:32" ht="14.25">
      <c r="A77" s="6" t="s">
        <v>163</v>
      </c>
      <c r="B77" s="5"/>
      <c r="C77" s="5"/>
      <c r="D77" s="6"/>
      <c r="E77" s="5"/>
      <c r="F77" s="472"/>
      <c r="G77" s="5"/>
      <c r="H77" s="5"/>
      <c r="I77" s="5"/>
      <c r="J77" s="5"/>
      <c r="L77" s="6" t="s">
        <v>108</v>
      </c>
      <c r="M77" s="5"/>
      <c r="N77" s="5"/>
      <c r="O77" s="6"/>
      <c r="P77" s="5"/>
      <c r="Q77" s="472"/>
      <c r="R77" s="5"/>
      <c r="S77" s="5"/>
      <c r="T77" s="5"/>
      <c r="U77" s="5"/>
      <c r="W77" s="6" t="s">
        <v>109</v>
      </c>
      <c r="X77" s="5"/>
      <c r="Y77" s="5"/>
      <c r="Z77" s="6"/>
      <c r="AA77" s="5"/>
      <c r="AB77" s="472"/>
      <c r="AC77" s="5"/>
      <c r="AD77" s="5"/>
      <c r="AE77" s="5"/>
      <c r="AF77" s="5"/>
    </row>
    <row r="78" spans="1:32">
      <c r="A78" s="5"/>
      <c r="B78" s="5"/>
      <c r="C78" s="5"/>
      <c r="D78" s="6"/>
      <c r="E78" s="5"/>
      <c r="F78" s="5"/>
      <c r="G78" s="5"/>
      <c r="H78" s="5"/>
      <c r="I78" s="5"/>
      <c r="J78" s="5"/>
      <c r="L78" s="5"/>
      <c r="M78" s="5"/>
      <c r="N78" s="5"/>
      <c r="O78" s="6"/>
      <c r="P78" s="5"/>
      <c r="Q78" s="5"/>
      <c r="R78" s="5"/>
      <c r="S78" s="5"/>
      <c r="T78" s="5"/>
      <c r="U78" s="5"/>
      <c r="W78" s="5"/>
      <c r="X78" s="5"/>
      <c r="Y78" s="5"/>
      <c r="Z78" s="6"/>
      <c r="AA78" s="5"/>
      <c r="AB78" s="5"/>
      <c r="AC78" s="5"/>
      <c r="AD78" s="5"/>
      <c r="AE78" s="5"/>
      <c r="AF78" s="5"/>
    </row>
    <row r="79" spans="1:32" ht="12.75" customHeight="1">
      <c r="A79" s="8"/>
      <c r="B79" s="525" t="s">
        <v>164</v>
      </c>
      <c r="C79" s="526"/>
      <c r="D79" s="526"/>
      <c r="E79" s="526"/>
      <c r="F79" s="526"/>
      <c r="G79" s="526"/>
      <c r="H79" s="526"/>
      <c r="I79" s="526"/>
      <c r="J79" s="527"/>
      <c r="L79" s="8"/>
      <c r="M79" s="525" t="s">
        <v>164</v>
      </c>
      <c r="N79" s="526"/>
      <c r="O79" s="526"/>
      <c r="P79" s="526"/>
      <c r="Q79" s="526"/>
      <c r="R79" s="526"/>
      <c r="S79" s="526"/>
      <c r="T79" s="526"/>
      <c r="U79" s="527"/>
      <c r="W79" s="8"/>
      <c r="X79" s="525" t="s">
        <v>164</v>
      </c>
      <c r="Y79" s="526"/>
      <c r="Z79" s="526"/>
      <c r="AA79" s="526"/>
      <c r="AB79" s="526"/>
      <c r="AC79" s="526"/>
      <c r="AD79" s="526"/>
      <c r="AE79" s="526"/>
      <c r="AF79" s="527"/>
    </row>
    <row r="80" spans="1:32" ht="25.5">
      <c r="A80" s="26"/>
      <c r="B80" s="322">
        <v>2014</v>
      </c>
      <c r="C80" s="389">
        <v>2015</v>
      </c>
      <c r="D80" s="389">
        <v>2016</v>
      </c>
      <c r="E80" s="390">
        <v>2017</v>
      </c>
      <c r="F80" s="389">
        <v>2018</v>
      </c>
      <c r="G80" s="390">
        <v>2019</v>
      </c>
      <c r="H80" s="389">
        <v>2020</v>
      </c>
      <c r="I80" s="391">
        <v>2021</v>
      </c>
      <c r="J80" s="392" t="s">
        <v>65</v>
      </c>
      <c r="L80" s="26"/>
      <c r="M80" s="322">
        <v>2014</v>
      </c>
      <c r="N80" s="389">
        <v>2015</v>
      </c>
      <c r="O80" s="389">
        <v>2016</v>
      </c>
      <c r="P80" s="390">
        <v>2017</v>
      </c>
      <c r="Q80" s="389">
        <v>2018</v>
      </c>
      <c r="R80" s="390">
        <v>2019</v>
      </c>
      <c r="S80" s="389">
        <v>2020</v>
      </c>
      <c r="T80" s="391">
        <v>2021</v>
      </c>
      <c r="U80" s="392" t="s">
        <v>65</v>
      </c>
      <c r="W80" s="26"/>
      <c r="X80" s="322">
        <v>2014</v>
      </c>
      <c r="Y80" s="389">
        <v>2015</v>
      </c>
      <c r="Z80" s="389">
        <v>2016</v>
      </c>
      <c r="AA80" s="390">
        <v>2017</v>
      </c>
      <c r="AB80" s="389">
        <v>2018</v>
      </c>
      <c r="AC80" s="390">
        <v>2019</v>
      </c>
      <c r="AD80" s="389">
        <v>2020</v>
      </c>
      <c r="AE80" s="391">
        <v>2021</v>
      </c>
      <c r="AF80" s="392" t="s">
        <v>65</v>
      </c>
    </row>
    <row r="81" spans="1:32">
      <c r="A81" s="481" t="s">
        <v>161</v>
      </c>
      <c r="B81" s="369">
        <v>105</v>
      </c>
      <c r="C81" s="369">
        <v>63</v>
      </c>
      <c r="D81" s="369">
        <v>130.32</v>
      </c>
      <c r="E81" s="369">
        <v>119.52000000000001</v>
      </c>
      <c r="F81" s="369">
        <v>108.72</v>
      </c>
      <c r="G81" s="369">
        <v>97.92</v>
      </c>
      <c r="H81" s="369">
        <v>92.16</v>
      </c>
      <c r="I81" s="369">
        <v>86.4</v>
      </c>
      <c r="J81" s="369">
        <f>SUM(B81:I81)</f>
        <v>803.04</v>
      </c>
      <c r="L81" s="481" t="s">
        <v>161</v>
      </c>
      <c r="M81" s="369">
        <f t="shared" ref="M81:U81" si="12">B68-B81</f>
        <v>0</v>
      </c>
      <c r="N81" s="369">
        <f t="shared" si="12"/>
        <v>0</v>
      </c>
      <c r="O81" s="369">
        <f t="shared" si="12"/>
        <v>4.6800000000000068</v>
      </c>
      <c r="P81" s="369">
        <f t="shared" si="12"/>
        <v>-56.52000000000001</v>
      </c>
      <c r="Q81" s="369">
        <f t="shared" si="12"/>
        <v>-13.719999999999999</v>
      </c>
      <c r="R81" s="369">
        <f t="shared" si="12"/>
        <v>-7.4503199999999907</v>
      </c>
      <c r="S81" s="369">
        <f t="shared" si="12"/>
        <v>-7.2292799999999744</v>
      </c>
      <c r="T81" s="369">
        <f t="shared" si="12"/>
        <v>-7.0082400000000149</v>
      </c>
      <c r="U81" s="369">
        <f t="shared" si="12"/>
        <v>-87.247839999999883</v>
      </c>
      <c r="W81" s="481" t="s">
        <v>161</v>
      </c>
      <c r="X81" s="482">
        <f t="shared" ref="X81:AF81" si="13">M81/B81</f>
        <v>0</v>
      </c>
      <c r="Y81" s="482">
        <f t="shared" si="13"/>
        <v>0</v>
      </c>
      <c r="Z81" s="482">
        <f t="shared" si="13"/>
        <v>3.5911602209944805E-2</v>
      </c>
      <c r="AA81" s="482">
        <f t="shared" si="13"/>
        <v>-0.47289156626506029</v>
      </c>
      <c r="AB81" s="482">
        <f t="shared" si="13"/>
        <v>-0.12619573215599705</v>
      </c>
      <c r="AC81" s="482">
        <f t="shared" si="13"/>
        <v>-7.6085784313725396E-2</v>
      </c>
      <c r="AD81" s="482">
        <f t="shared" si="13"/>
        <v>-7.8442708333333055E-2</v>
      </c>
      <c r="AE81" s="482">
        <f t="shared" si="13"/>
        <v>-8.1113888888889055E-2</v>
      </c>
      <c r="AF81" s="482">
        <f t="shared" si="13"/>
        <v>-0.10864694162183688</v>
      </c>
    </row>
    <row r="84" spans="1:32" ht="15">
      <c r="A84" s="471" t="s">
        <v>165</v>
      </c>
    </row>
    <row r="86" spans="1:32" ht="27.75" customHeight="1">
      <c r="A86" s="528" t="s">
        <v>166</v>
      </c>
      <c r="B86" s="528"/>
      <c r="C86" s="528"/>
      <c r="D86" s="528"/>
      <c r="E86" s="528"/>
      <c r="F86" s="528"/>
      <c r="G86" s="528"/>
      <c r="H86" s="528"/>
      <c r="I86" s="528"/>
      <c r="J86" s="528"/>
    </row>
    <row r="87" spans="1:32">
      <c r="A87" s="5"/>
      <c r="B87" s="5"/>
      <c r="C87" s="5"/>
      <c r="D87" s="6"/>
      <c r="E87" s="5"/>
      <c r="F87" s="5"/>
      <c r="G87" s="5"/>
      <c r="H87" s="5"/>
      <c r="I87" s="5"/>
      <c r="J87" s="5"/>
    </row>
    <row r="88" spans="1:32" ht="12.75" customHeight="1">
      <c r="A88" s="8"/>
      <c r="B88" s="306" t="s">
        <v>2</v>
      </c>
      <c r="C88" s="307"/>
      <c r="D88" s="307"/>
      <c r="E88" s="308"/>
      <c r="F88" s="309" t="s">
        <v>3</v>
      </c>
      <c r="G88" s="382" t="s">
        <v>4</v>
      </c>
      <c r="H88" s="310"/>
      <c r="I88" s="311"/>
      <c r="J88" s="383"/>
    </row>
    <row r="89" spans="1:32">
      <c r="A89" s="17"/>
      <c r="B89" s="314"/>
      <c r="C89" s="315"/>
      <c r="D89" s="315"/>
      <c r="E89" s="316"/>
      <c r="F89" s="317"/>
      <c r="G89" s="385"/>
      <c r="H89" s="318"/>
      <c r="I89" s="319"/>
      <c r="J89" s="517"/>
    </row>
    <row r="90" spans="1:32" ht="25.5">
      <c r="A90" s="26"/>
      <c r="B90" s="322">
        <v>2014</v>
      </c>
      <c r="C90" s="389">
        <v>2015</v>
      </c>
      <c r="D90" s="389">
        <v>2016</v>
      </c>
      <c r="E90" s="390">
        <v>2017</v>
      </c>
      <c r="F90" s="389">
        <v>2018</v>
      </c>
      <c r="G90" s="390">
        <v>2019</v>
      </c>
      <c r="H90" s="389">
        <v>2020</v>
      </c>
      <c r="I90" s="391">
        <v>2021</v>
      </c>
      <c r="J90" s="392" t="s">
        <v>5</v>
      </c>
    </row>
    <row r="91" spans="1:32">
      <c r="A91" s="481" t="s">
        <v>167</v>
      </c>
      <c r="B91" s="505">
        <f>+B98</f>
        <v>0.42592592592592593</v>
      </c>
      <c r="C91" s="505">
        <f>+C98</f>
        <v>0.26267281105990781</v>
      </c>
      <c r="D91" s="505">
        <f>+D98</f>
        <v>0.30733944954128439</v>
      </c>
      <c r="E91" s="505">
        <f>+E98</f>
        <v>0.35</v>
      </c>
      <c r="F91" s="506">
        <v>0.37155963302752293</v>
      </c>
      <c r="G91" s="506">
        <v>0.49</v>
      </c>
      <c r="H91" s="506">
        <v>0.48</v>
      </c>
      <c r="I91" s="506">
        <v>0.47</v>
      </c>
      <c r="J91" s="369">
        <v>0</v>
      </c>
    </row>
    <row r="93" spans="1:32" ht="31.5" customHeight="1">
      <c r="A93" s="528" t="s">
        <v>168</v>
      </c>
      <c r="B93" s="528"/>
      <c r="C93" s="528"/>
      <c r="D93" s="528"/>
      <c r="E93" s="528"/>
      <c r="F93" s="528"/>
      <c r="G93" s="528"/>
      <c r="H93" s="528"/>
      <c r="I93" s="528"/>
      <c r="J93" s="528"/>
      <c r="L93" s="528" t="s">
        <v>48</v>
      </c>
      <c r="M93" s="528"/>
      <c r="N93" s="528"/>
      <c r="O93" s="528"/>
      <c r="P93" s="528"/>
      <c r="Q93" s="528"/>
      <c r="R93" s="528"/>
      <c r="S93" s="528"/>
      <c r="T93" s="528"/>
      <c r="U93" s="528"/>
      <c r="W93" s="528" t="s">
        <v>49</v>
      </c>
      <c r="X93" s="528"/>
      <c r="Y93" s="528"/>
      <c r="Z93" s="528"/>
      <c r="AA93" s="528"/>
      <c r="AB93" s="528"/>
      <c r="AC93" s="528"/>
      <c r="AD93" s="528"/>
      <c r="AE93" s="528"/>
      <c r="AF93" s="528"/>
    </row>
    <row r="94" spans="1:32">
      <c r="A94" s="5"/>
      <c r="B94" s="5"/>
      <c r="C94" s="5"/>
      <c r="D94" s="6"/>
      <c r="E94" s="5"/>
      <c r="F94" s="5"/>
      <c r="G94" s="5"/>
      <c r="H94" s="5"/>
      <c r="I94" s="5"/>
      <c r="J94" s="5"/>
      <c r="L94" s="5"/>
      <c r="M94" s="5"/>
      <c r="N94" s="5"/>
      <c r="O94" s="6"/>
      <c r="P94" s="5"/>
      <c r="Q94" s="5"/>
      <c r="R94" s="5"/>
      <c r="S94" s="5"/>
      <c r="T94" s="5"/>
      <c r="U94" s="5"/>
      <c r="W94" s="5"/>
      <c r="X94" s="5"/>
      <c r="Y94" s="5"/>
      <c r="Z94" s="6"/>
      <c r="AA94" s="5"/>
      <c r="AB94" s="5"/>
      <c r="AC94" s="5"/>
      <c r="AD94" s="5"/>
      <c r="AE94" s="5"/>
      <c r="AF94" s="5"/>
    </row>
    <row r="95" spans="1:32" ht="12.75" customHeight="1">
      <c r="A95" s="8"/>
      <c r="B95" s="521" t="s">
        <v>2</v>
      </c>
      <c r="C95" s="522"/>
      <c r="D95" s="522"/>
      <c r="E95" s="523"/>
      <c r="F95" s="382" t="s">
        <v>105</v>
      </c>
      <c r="G95" s="310"/>
      <c r="H95" s="310"/>
      <c r="I95" s="311"/>
      <c r="J95" s="383"/>
      <c r="L95" s="8"/>
      <c r="M95" s="306" t="s">
        <v>2</v>
      </c>
      <c r="N95" s="307"/>
      <c r="O95" s="308"/>
      <c r="P95" s="309" t="s">
        <v>3</v>
      </c>
      <c r="Q95" s="310" t="s">
        <v>4</v>
      </c>
      <c r="R95" s="310"/>
      <c r="S95" s="310"/>
      <c r="T95" s="311"/>
      <c r="U95" s="383"/>
      <c r="W95" s="8"/>
      <c r="X95" s="306" t="s">
        <v>2</v>
      </c>
      <c r="Y95" s="307"/>
      <c r="Z95" s="308"/>
      <c r="AA95" s="524" t="s">
        <v>4</v>
      </c>
      <c r="AB95" s="524"/>
      <c r="AC95" s="524"/>
      <c r="AD95" s="524"/>
      <c r="AE95" s="524"/>
      <c r="AF95" s="383"/>
    </row>
    <row r="96" spans="1:32">
      <c r="A96" s="17"/>
      <c r="B96" s="314"/>
      <c r="C96" s="315"/>
      <c r="D96" s="315"/>
      <c r="E96" s="316"/>
      <c r="F96" s="385"/>
      <c r="G96" s="318"/>
      <c r="H96" s="318"/>
      <c r="I96" s="319"/>
      <c r="J96" s="517"/>
      <c r="L96" s="17"/>
      <c r="M96" s="314"/>
      <c r="N96" s="315"/>
      <c r="O96" s="316"/>
      <c r="P96" s="317"/>
      <c r="Q96" s="318"/>
      <c r="R96" s="318"/>
      <c r="S96" s="318"/>
      <c r="T96" s="319"/>
      <c r="U96" s="517"/>
      <c r="W96" s="17"/>
      <c r="X96" s="314"/>
      <c r="Y96" s="315"/>
      <c r="Z96" s="316"/>
      <c r="AA96" s="524"/>
      <c r="AB96" s="524"/>
      <c r="AC96" s="524"/>
      <c r="AD96" s="524"/>
      <c r="AE96" s="524"/>
      <c r="AF96" s="517"/>
    </row>
    <row r="97" spans="1:32" ht="51" customHeight="1">
      <c r="A97" s="26"/>
      <c r="B97" s="322">
        <v>2014</v>
      </c>
      <c r="C97" s="389">
        <v>2015</v>
      </c>
      <c r="D97" s="389">
        <v>2016</v>
      </c>
      <c r="E97" s="390">
        <v>2017</v>
      </c>
      <c r="F97" s="389">
        <v>2018</v>
      </c>
      <c r="G97" s="390">
        <v>2019</v>
      </c>
      <c r="H97" s="389">
        <v>2020</v>
      </c>
      <c r="I97" s="391">
        <v>2021</v>
      </c>
      <c r="J97" s="392" t="s">
        <v>5</v>
      </c>
      <c r="L97" s="26"/>
      <c r="M97" s="322">
        <v>2014</v>
      </c>
      <c r="N97" s="389">
        <v>2015</v>
      </c>
      <c r="O97" s="389">
        <v>2016</v>
      </c>
      <c r="P97" s="390">
        <v>2017</v>
      </c>
      <c r="Q97" s="389">
        <v>2018</v>
      </c>
      <c r="R97" s="390">
        <v>2019</v>
      </c>
      <c r="S97" s="389">
        <v>2020</v>
      </c>
      <c r="T97" s="391">
        <v>2021</v>
      </c>
      <c r="U97" s="392" t="s">
        <v>5</v>
      </c>
      <c r="W97" s="26"/>
      <c r="X97" s="322">
        <v>2014</v>
      </c>
      <c r="Y97" s="389">
        <v>2015</v>
      </c>
      <c r="Z97" s="389">
        <v>2016</v>
      </c>
      <c r="AA97" s="390">
        <v>2017</v>
      </c>
      <c r="AB97" s="389">
        <v>2018</v>
      </c>
      <c r="AC97" s="390">
        <v>2019</v>
      </c>
      <c r="AD97" s="389">
        <v>2020</v>
      </c>
      <c r="AE97" s="391">
        <v>2021</v>
      </c>
      <c r="AF97" s="392" t="s">
        <v>5</v>
      </c>
    </row>
    <row r="98" spans="1:32">
      <c r="A98" s="481" t="s">
        <v>167</v>
      </c>
      <c r="B98" s="505">
        <v>0.42592592592592593</v>
      </c>
      <c r="C98" s="505">
        <v>0.26267281105990781</v>
      </c>
      <c r="D98" s="505">
        <v>0.30733944954128439</v>
      </c>
      <c r="E98" s="505">
        <v>0.35</v>
      </c>
      <c r="F98" s="505">
        <v>0.49</v>
      </c>
      <c r="G98" s="505">
        <v>0.49</v>
      </c>
      <c r="H98" s="505">
        <v>0.48</v>
      </c>
      <c r="I98" s="505">
        <v>0.47</v>
      </c>
      <c r="J98" s="369">
        <v>0</v>
      </c>
      <c r="L98" s="481" t="s">
        <v>167</v>
      </c>
      <c r="M98" s="529">
        <f>B91-B98</f>
        <v>0</v>
      </c>
      <c r="N98" s="529">
        <f t="shared" ref="N98:T98" si="14">C91-C98</f>
        <v>0</v>
      </c>
      <c r="O98" s="529">
        <f t="shared" si="14"/>
        <v>0</v>
      </c>
      <c r="P98" s="529">
        <f t="shared" si="14"/>
        <v>0</v>
      </c>
      <c r="Q98" s="529">
        <f t="shared" si="14"/>
        <v>-0.11844036697247706</v>
      </c>
      <c r="R98" s="529">
        <f t="shared" si="14"/>
        <v>0</v>
      </c>
      <c r="S98" s="529">
        <f t="shared" si="14"/>
        <v>0</v>
      </c>
      <c r="T98" s="529">
        <f t="shared" si="14"/>
        <v>0</v>
      </c>
      <c r="U98" s="369"/>
      <c r="W98" s="481" t="s">
        <v>167</v>
      </c>
      <c r="X98" s="482">
        <f t="shared" ref="X98:AE98" si="15">M98/B98</f>
        <v>0</v>
      </c>
      <c r="Y98" s="482">
        <f t="shared" si="15"/>
        <v>0</v>
      </c>
      <c r="Z98" s="482">
        <f t="shared" si="15"/>
        <v>0</v>
      </c>
      <c r="AA98" s="482">
        <f t="shared" si="15"/>
        <v>0</v>
      </c>
      <c r="AB98" s="482">
        <f t="shared" si="15"/>
        <v>-0.2417150346377083</v>
      </c>
      <c r="AC98" s="482">
        <f t="shared" si="15"/>
        <v>0</v>
      </c>
      <c r="AD98" s="482">
        <f t="shared" si="15"/>
        <v>0</v>
      </c>
      <c r="AE98" s="482">
        <f t="shared" si="15"/>
        <v>0</v>
      </c>
      <c r="AF98" s="482"/>
    </row>
    <row r="100" spans="1:32" ht="27.75" customHeight="1">
      <c r="A100" s="528" t="s">
        <v>169</v>
      </c>
      <c r="B100" s="528"/>
      <c r="C100" s="528"/>
      <c r="D100" s="528"/>
      <c r="E100" s="528"/>
      <c r="F100" s="528"/>
      <c r="G100" s="528"/>
      <c r="H100" s="528"/>
      <c r="I100" s="528"/>
      <c r="J100" s="528"/>
      <c r="L100" s="528" t="s">
        <v>108</v>
      </c>
      <c r="M100" s="528"/>
      <c r="N100" s="528"/>
      <c r="O100" s="528"/>
      <c r="P100" s="528"/>
      <c r="Q100" s="528"/>
      <c r="R100" s="528"/>
      <c r="S100" s="528"/>
      <c r="T100" s="528"/>
      <c r="U100" s="528"/>
      <c r="W100" s="528" t="s">
        <v>109</v>
      </c>
      <c r="X100" s="528"/>
      <c r="Y100" s="528"/>
      <c r="Z100" s="528"/>
      <c r="AA100" s="528"/>
      <c r="AB100" s="528"/>
      <c r="AC100" s="528"/>
      <c r="AD100" s="528"/>
      <c r="AE100" s="528"/>
      <c r="AF100" s="528"/>
    </row>
    <row r="101" spans="1:32">
      <c r="A101" s="5"/>
      <c r="B101" s="5"/>
      <c r="C101" s="5"/>
      <c r="D101" s="6"/>
      <c r="E101" s="5"/>
      <c r="F101" s="5"/>
      <c r="G101" s="5"/>
      <c r="H101" s="5"/>
      <c r="I101" s="5"/>
      <c r="J101" s="5"/>
      <c r="L101" s="5"/>
      <c r="M101" s="5"/>
      <c r="N101" s="5"/>
      <c r="O101" s="6"/>
      <c r="P101" s="5"/>
      <c r="Q101" s="5"/>
      <c r="R101" s="5"/>
      <c r="S101" s="5"/>
      <c r="T101" s="5"/>
      <c r="U101" s="5"/>
      <c r="W101" s="5"/>
      <c r="X101" s="5"/>
      <c r="Y101" s="5"/>
      <c r="Z101" s="6"/>
      <c r="AA101" s="5"/>
      <c r="AB101" s="5"/>
      <c r="AC101" s="5"/>
      <c r="AD101" s="5"/>
      <c r="AE101" s="5"/>
      <c r="AF101" s="5"/>
    </row>
    <row r="102" spans="1:32" ht="12.75" customHeight="1">
      <c r="A102" s="8"/>
      <c r="B102" s="525" t="s">
        <v>164</v>
      </c>
      <c r="C102" s="526"/>
      <c r="D102" s="526"/>
      <c r="E102" s="526"/>
      <c r="F102" s="526"/>
      <c r="G102" s="526"/>
      <c r="H102" s="526"/>
      <c r="I102" s="526"/>
      <c r="J102" s="527"/>
      <c r="L102" s="8"/>
      <c r="M102" s="525" t="s">
        <v>164</v>
      </c>
      <c r="N102" s="526"/>
      <c r="O102" s="526"/>
      <c r="P102" s="526"/>
      <c r="Q102" s="526"/>
      <c r="R102" s="526"/>
      <c r="S102" s="526"/>
      <c r="T102" s="526"/>
      <c r="U102" s="527"/>
      <c r="W102" s="8"/>
      <c r="X102" s="525" t="s">
        <v>164</v>
      </c>
      <c r="Y102" s="526"/>
      <c r="Z102" s="526"/>
      <c r="AA102" s="526"/>
      <c r="AB102" s="526"/>
      <c r="AC102" s="526"/>
      <c r="AD102" s="526"/>
      <c r="AE102" s="526"/>
      <c r="AF102" s="527"/>
    </row>
    <row r="103" spans="1:32" ht="25.5">
      <c r="A103" s="26"/>
      <c r="B103" s="322">
        <v>2014</v>
      </c>
      <c r="C103" s="389">
        <v>2015</v>
      </c>
      <c r="D103" s="389">
        <v>2016</v>
      </c>
      <c r="E103" s="390">
        <v>2017</v>
      </c>
      <c r="F103" s="389">
        <v>2018</v>
      </c>
      <c r="G103" s="390">
        <v>2019</v>
      </c>
      <c r="H103" s="389">
        <v>2020</v>
      </c>
      <c r="I103" s="391">
        <v>2021</v>
      </c>
      <c r="J103" s="392" t="s">
        <v>65</v>
      </c>
      <c r="L103" s="26"/>
      <c r="M103" s="322">
        <v>2014</v>
      </c>
      <c r="N103" s="389">
        <v>2015</v>
      </c>
      <c r="O103" s="389">
        <v>2016</v>
      </c>
      <c r="P103" s="390">
        <v>2017</v>
      </c>
      <c r="Q103" s="389">
        <v>2018</v>
      </c>
      <c r="R103" s="390">
        <v>2019</v>
      </c>
      <c r="S103" s="389">
        <v>2020</v>
      </c>
      <c r="T103" s="391">
        <v>2021</v>
      </c>
      <c r="U103" s="392" t="s">
        <v>65</v>
      </c>
      <c r="W103" s="26"/>
      <c r="X103" s="322">
        <v>2014</v>
      </c>
      <c r="Y103" s="389">
        <v>2015</v>
      </c>
      <c r="Z103" s="389">
        <v>2016</v>
      </c>
      <c r="AA103" s="390">
        <v>2017</v>
      </c>
      <c r="AB103" s="389">
        <v>2018</v>
      </c>
      <c r="AC103" s="390">
        <v>2019</v>
      </c>
      <c r="AD103" s="389">
        <v>2020</v>
      </c>
      <c r="AE103" s="391">
        <v>2021</v>
      </c>
      <c r="AF103" s="392" t="s">
        <v>65</v>
      </c>
    </row>
    <row r="104" spans="1:32">
      <c r="A104" s="481" t="s">
        <v>167</v>
      </c>
      <c r="B104" s="530">
        <v>0.51</v>
      </c>
      <c r="C104" s="530">
        <v>0.51</v>
      </c>
      <c r="D104" s="530">
        <v>0.5</v>
      </c>
      <c r="E104" s="530">
        <v>0.5</v>
      </c>
      <c r="F104" s="530">
        <v>0.49</v>
      </c>
      <c r="G104" s="530">
        <v>0.49</v>
      </c>
      <c r="H104" s="530">
        <v>0.48</v>
      </c>
      <c r="I104" s="530">
        <v>0.47</v>
      </c>
      <c r="J104" s="369">
        <v>0</v>
      </c>
      <c r="L104" s="481" t="s">
        <v>167</v>
      </c>
      <c r="M104" s="529">
        <f>+B91-B104</f>
        <v>-8.4074074074074079E-2</v>
      </c>
      <c r="N104" s="529">
        <f t="shared" ref="N104:T104" si="16">+C91-C104</f>
        <v>-0.2473271889400922</v>
      </c>
      <c r="O104" s="529">
        <f t="shared" si="16"/>
        <v>-0.19266055045871561</v>
      </c>
      <c r="P104" s="529">
        <f t="shared" si="16"/>
        <v>-0.15000000000000002</v>
      </c>
      <c r="Q104" s="529">
        <f t="shared" si="16"/>
        <v>-0.11844036697247706</v>
      </c>
      <c r="R104" s="529">
        <f t="shared" si="16"/>
        <v>0</v>
      </c>
      <c r="S104" s="529">
        <f t="shared" si="16"/>
        <v>0</v>
      </c>
      <c r="T104" s="529">
        <f t="shared" si="16"/>
        <v>0</v>
      </c>
      <c r="U104" s="369"/>
      <c r="W104" s="481" t="s">
        <v>167</v>
      </c>
      <c r="X104" s="482">
        <f t="shared" ref="X104:AE104" si="17">M104/B104</f>
        <v>-0.16485112563543936</v>
      </c>
      <c r="Y104" s="482">
        <f t="shared" si="17"/>
        <v>-0.48495527243155334</v>
      </c>
      <c r="Z104" s="482">
        <f t="shared" si="17"/>
        <v>-0.38532110091743121</v>
      </c>
      <c r="AA104" s="482">
        <f t="shared" si="17"/>
        <v>-0.30000000000000004</v>
      </c>
      <c r="AB104" s="482">
        <f t="shared" si="17"/>
        <v>-0.2417150346377083</v>
      </c>
      <c r="AC104" s="482">
        <f t="shared" si="17"/>
        <v>0</v>
      </c>
      <c r="AD104" s="482">
        <f t="shared" si="17"/>
        <v>0</v>
      </c>
      <c r="AE104" s="482">
        <f t="shared" si="17"/>
        <v>0</v>
      </c>
      <c r="AF104" s="482"/>
    </row>
    <row r="107" spans="1:32" ht="12.75" customHeight="1">
      <c r="A107" s="471" t="s">
        <v>170</v>
      </c>
      <c r="B107" s="471"/>
      <c r="C107" s="471"/>
      <c r="D107" s="471"/>
      <c r="E107" s="471"/>
      <c r="F107" s="471"/>
      <c r="G107" s="471"/>
      <c r="H107" s="471"/>
      <c r="I107" s="471"/>
      <c r="J107" s="471"/>
    </row>
    <row r="109" spans="1:32" ht="12.75" customHeight="1">
      <c r="A109" s="8"/>
      <c r="B109" s="306" t="s">
        <v>2</v>
      </c>
      <c r="C109" s="307"/>
      <c r="D109" s="307"/>
      <c r="E109" s="308"/>
      <c r="F109" s="309" t="s">
        <v>3</v>
      </c>
      <c r="G109" s="382" t="s">
        <v>4</v>
      </c>
      <c r="H109" s="310"/>
      <c r="I109" s="311"/>
    </row>
    <row r="110" spans="1:32">
      <c r="A110" s="17"/>
      <c r="B110" s="314"/>
      <c r="C110" s="315"/>
      <c r="D110" s="315"/>
      <c r="E110" s="316"/>
      <c r="F110" s="317"/>
      <c r="G110" s="385"/>
      <c r="H110" s="318"/>
      <c r="I110" s="319"/>
    </row>
    <row r="111" spans="1:32">
      <c r="A111" s="26"/>
      <c r="B111" s="322">
        <v>2014</v>
      </c>
      <c r="C111" s="389">
        <v>2015</v>
      </c>
      <c r="D111" s="389">
        <v>2016</v>
      </c>
      <c r="E111" s="390">
        <v>2017</v>
      </c>
      <c r="F111" s="389">
        <v>2018</v>
      </c>
      <c r="G111" s="390">
        <v>2019</v>
      </c>
      <c r="H111" s="389">
        <v>2020</v>
      </c>
      <c r="I111" s="391">
        <v>2021</v>
      </c>
    </row>
    <row r="112" spans="1:32">
      <c r="A112" s="475" t="s">
        <v>171</v>
      </c>
      <c r="B112" s="369">
        <v>0</v>
      </c>
      <c r="C112" s="369">
        <v>0</v>
      </c>
      <c r="D112" s="520">
        <v>0</v>
      </c>
      <c r="E112" s="520">
        <v>0</v>
      </c>
      <c r="F112" s="531">
        <v>0.17</v>
      </c>
      <c r="G112" s="368">
        <v>0</v>
      </c>
      <c r="H112" s="368">
        <v>0</v>
      </c>
      <c r="I112" s="368">
        <v>0</v>
      </c>
    </row>
    <row r="113" spans="1:12">
      <c r="A113" s="481" t="s">
        <v>172</v>
      </c>
      <c r="B113" s="369">
        <v>69437.846999999994</v>
      </c>
      <c r="C113" s="369">
        <v>69493.437999999995</v>
      </c>
      <c r="D113" s="520">
        <v>68624</v>
      </c>
      <c r="E113" s="520">
        <v>70318</v>
      </c>
      <c r="F113" s="368">
        <v>74392.832972999997</v>
      </c>
      <c r="G113" s="368">
        <v>72475.547812916775</v>
      </c>
      <c r="H113" s="368">
        <v>72259.927410458855</v>
      </c>
      <c r="I113" s="368">
        <v>71917.022942138356</v>
      </c>
    </row>
    <row r="114" spans="1:12">
      <c r="A114" s="481" t="s">
        <v>173</v>
      </c>
      <c r="B114" s="501">
        <f t="shared" ref="B114:I114" si="18">IF(ISERROR(B112/B113),"",(B112/B113))</f>
        <v>0</v>
      </c>
      <c r="C114" s="501">
        <f t="shared" si="18"/>
        <v>0</v>
      </c>
      <c r="D114" s="501">
        <f t="shared" si="18"/>
        <v>0</v>
      </c>
      <c r="E114" s="501">
        <f t="shared" si="18"/>
        <v>0</v>
      </c>
      <c r="F114" s="501">
        <f t="shared" si="18"/>
        <v>2.2851663689390552E-6</v>
      </c>
      <c r="G114" s="501">
        <f t="shared" si="18"/>
        <v>0</v>
      </c>
      <c r="H114" s="501">
        <f t="shared" si="18"/>
        <v>0</v>
      </c>
      <c r="I114" s="501">
        <f t="shared" si="18"/>
        <v>0</v>
      </c>
    </row>
    <row r="116" spans="1:12" ht="15">
      <c r="A116" s="532" t="s">
        <v>174</v>
      </c>
      <c r="B116" s="533"/>
      <c r="C116" s="533"/>
    </row>
    <row r="117" spans="1:12" ht="15">
      <c r="A117" s="532"/>
      <c r="B117" s="533"/>
      <c r="C117" s="533"/>
    </row>
    <row r="118" spans="1:12" ht="12.75" customHeight="1">
      <c r="A118" s="381" t="s">
        <v>175</v>
      </c>
      <c r="B118" s="306" t="s">
        <v>2</v>
      </c>
      <c r="C118" s="307"/>
      <c r="D118" s="307"/>
      <c r="E118" s="308"/>
      <c r="F118" s="309" t="s">
        <v>3</v>
      </c>
      <c r="G118" s="382" t="s">
        <v>4</v>
      </c>
      <c r="H118" s="310"/>
      <c r="I118" s="311"/>
      <c r="L118" t="s">
        <v>52</v>
      </c>
    </row>
    <row r="119" spans="1:12" ht="12.75" customHeight="1">
      <c r="A119" s="381"/>
      <c r="B119" s="314"/>
      <c r="C119" s="315"/>
      <c r="D119" s="315"/>
      <c r="E119" s="316"/>
      <c r="F119" s="317"/>
      <c r="G119" s="385"/>
      <c r="H119" s="318"/>
      <c r="I119" s="319"/>
    </row>
    <row r="120" spans="1:12" ht="14.25">
      <c r="A120" s="534"/>
      <c r="B120" s="322">
        <v>2014</v>
      </c>
      <c r="C120" s="389">
        <v>2015</v>
      </c>
      <c r="D120" s="389">
        <v>2016</v>
      </c>
      <c r="E120" s="390">
        <v>2017</v>
      </c>
      <c r="F120" s="389">
        <v>2018</v>
      </c>
      <c r="G120" s="390">
        <v>2019</v>
      </c>
      <c r="H120" s="389">
        <v>2020</v>
      </c>
      <c r="I120" s="391">
        <v>2021</v>
      </c>
    </row>
    <row r="121" spans="1:12">
      <c r="A121" s="475" t="s">
        <v>176</v>
      </c>
      <c r="B121" s="535">
        <v>51</v>
      </c>
      <c r="C121" s="535">
        <v>59</v>
      </c>
      <c r="D121" s="535">
        <v>64</v>
      </c>
      <c r="E121" s="535">
        <v>75</v>
      </c>
      <c r="F121" s="535">
        <v>80</v>
      </c>
      <c r="G121" s="368">
        <v>79</v>
      </c>
      <c r="H121" s="368">
        <v>77</v>
      </c>
      <c r="I121" s="368">
        <v>74</v>
      </c>
    </row>
    <row r="122" spans="1:12">
      <c r="A122" s="475" t="s">
        <v>177</v>
      </c>
      <c r="B122" s="535">
        <v>58</v>
      </c>
      <c r="C122" s="535">
        <v>56</v>
      </c>
      <c r="D122" s="535">
        <v>59</v>
      </c>
      <c r="E122" s="535">
        <v>57</v>
      </c>
      <c r="F122" s="535">
        <v>60</v>
      </c>
      <c r="G122" s="368">
        <v>60</v>
      </c>
      <c r="H122" s="368">
        <v>60</v>
      </c>
      <c r="I122" s="368">
        <v>64</v>
      </c>
    </row>
    <row r="123" spans="1:12">
      <c r="A123" s="475" t="s">
        <v>178</v>
      </c>
      <c r="B123" s="535">
        <v>25</v>
      </c>
      <c r="C123" s="535">
        <v>27</v>
      </c>
      <c r="D123" s="535">
        <v>22</v>
      </c>
      <c r="E123" s="535">
        <v>27</v>
      </c>
      <c r="F123" s="535">
        <v>26</v>
      </c>
      <c r="G123" s="368">
        <v>24</v>
      </c>
      <c r="H123" s="368">
        <v>22</v>
      </c>
      <c r="I123" s="368">
        <v>22</v>
      </c>
    </row>
    <row r="124" spans="1:12">
      <c r="A124" s="475" t="s">
        <v>179</v>
      </c>
      <c r="B124" s="535">
        <v>49</v>
      </c>
      <c r="C124" s="535">
        <v>44</v>
      </c>
      <c r="D124" s="535">
        <v>41</v>
      </c>
      <c r="E124" s="535">
        <v>30</v>
      </c>
      <c r="F124" s="535">
        <v>25</v>
      </c>
      <c r="G124" s="368">
        <v>27</v>
      </c>
      <c r="H124" s="368">
        <v>32</v>
      </c>
      <c r="I124" s="368">
        <v>32</v>
      </c>
    </row>
    <row r="125" spans="1:12">
      <c r="A125" s="475" t="s">
        <v>180</v>
      </c>
      <c r="B125" s="535">
        <v>10</v>
      </c>
      <c r="C125" s="535">
        <v>9</v>
      </c>
      <c r="D125" s="535">
        <v>8</v>
      </c>
      <c r="E125" s="535">
        <v>5</v>
      </c>
      <c r="F125" s="535">
        <v>3</v>
      </c>
      <c r="G125" s="368">
        <v>2</v>
      </c>
      <c r="H125" s="368">
        <v>1</v>
      </c>
      <c r="I125" s="368">
        <v>0</v>
      </c>
    </row>
    <row r="126" spans="1:12">
      <c r="A126" s="475" t="s">
        <v>181</v>
      </c>
      <c r="B126" s="535">
        <v>193</v>
      </c>
      <c r="C126" s="535">
        <v>195</v>
      </c>
      <c r="D126" s="535">
        <v>194</v>
      </c>
      <c r="E126" s="535">
        <v>194</v>
      </c>
      <c r="F126" s="535">
        <v>194</v>
      </c>
      <c r="G126" s="368">
        <v>192</v>
      </c>
      <c r="H126" s="368">
        <v>192</v>
      </c>
      <c r="I126" s="368">
        <v>192</v>
      </c>
    </row>
    <row r="133" spans="2:2">
      <c r="B133" s="536"/>
    </row>
  </sheetData>
  <mergeCells count="64">
    <mergeCell ref="B109:E110"/>
    <mergeCell ref="F109:F110"/>
    <mergeCell ref="G109:I110"/>
    <mergeCell ref="A118:A119"/>
    <mergeCell ref="B118:E119"/>
    <mergeCell ref="F118:F119"/>
    <mergeCell ref="G118:I119"/>
    <mergeCell ref="A100:J100"/>
    <mergeCell ref="L100:U100"/>
    <mergeCell ref="W100:AF100"/>
    <mergeCell ref="B102:J102"/>
    <mergeCell ref="M102:U102"/>
    <mergeCell ref="X102:AF102"/>
    <mergeCell ref="W93:AF93"/>
    <mergeCell ref="B95:E96"/>
    <mergeCell ref="F95:I96"/>
    <mergeCell ref="M95:O96"/>
    <mergeCell ref="P95:P96"/>
    <mergeCell ref="Q95:T96"/>
    <mergeCell ref="X95:Z96"/>
    <mergeCell ref="AA95:AE96"/>
    <mergeCell ref="A86:J86"/>
    <mergeCell ref="B88:E89"/>
    <mergeCell ref="F88:F89"/>
    <mergeCell ref="G88:I89"/>
    <mergeCell ref="A93:J93"/>
    <mergeCell ref="L93:U93"/>
    <mergeCell ref="O72:O73"/>
    <mergeCell ref="P72:T73"/>
    <mergeCell ref="X72:X73"/>
    <mergeCell ref="Y72:AE73"/>
    <mergeCell ref="B79:J79"/>
    <mergeCell ref="M79:U79"/>
    <mergeCell ref="X79:AF79"/>
    <mergeCell ref="B65:E66"/>
    <mergeCell ref="F65:F66"/>
    <mergeCell ref="G65:I66"/>
    <mergeCell ref="B72:E73"/>
    <mergeCell ref="F72:I73"/>
    <mergeCell ref="M72:N73"/>
    <mergeCell ref="M45:O46"/>
    <mergeCell ref="P45:P46"/>
    <mergeCell ref="Q45:T46"/>
    <mergeCell ref="X45:Z46"/>
    <mergeCell ref="AA45:AA46"/>
    <mergeCell ref="AB45:AE46"/>
    <mergeCell ref="B36:E37"/>
    <mergeCell ref="F36:F37"/>
    <mergeCell ref="G36:I37"/>
    <mergeCell ref="B45:E46"/>
    <mergeCell ref="F45:F46"/>
    <mergeCell ref="G45:I46"/>
    <mergeCell ref="M20:O21"/>
    <mergeCell ref="P20:P21"/>
    <mergeCell ref="Q20:T21"/>
    <mergeCell ref="X20:Z21"/>
    <mergeCell ref="AA20:AA21"/>
    <mergeCell ref="AB20:AE21"/>
    <mergeCell ref="B11:E12"/>
    <mergeCell ref="F11:F12"/>
    <mergeCell ref="G11:I12"/>
    <mergeCell ref="B20:E21"/>
    <mergeCell ref="F20:F21"/>
    <mergeCell ref="G20:I21"/>
  </mergeCells>
  <pageMargins left="0.70866141732283472" right="0.70866141732283472" top="0.74803149606299213" bottom="0.74803149606299213" header="0.31496062992125984" footer="0.31496062992125984"/>
  <pageSetup paperSize="8" scale="42" fitToHeight="2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rowBreaks count="1" manualBreakCount="1">
    <brk id="8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C75"/>
  <sheetViews>
    <sheetView zoomScale="90" zoomScaleNormal="90" workbookViewId="0">
      <selection activeCell="K83" sqref="K83"/>
    </sheetView>
  </sheetViews>
  <sheetFormatPr defaultRowHeight="12.75"/>
  <cols>
    <col min="1" max="1" width="38.5703125" customWidth="1"/>
    <col min="2" max="2" width="11.5703125" customWidth="1"/>
    <col min="3" max="3" width="10.5703125" customWidth="1"/>
    <col min="4" max="4" width="15" customWidth="1"/>
    <col min="5" max="9" width="10.5703125" customWidth="1"/>
    <col min="11" max="11" width="37.42578125" customWidth="1"/>
    <col min="12" max="19" width="11.140625" customWidth="1"/>
    <col min="21" max="21" width="37.5703125" customWidth="1"/>
    <col min="22" max="22" width="11.42578125" customWidth="1"/>
    <col min="23" max="29" width="10.28515625" customWidth="1"/>
  </cols>
  <sheetData>
    <row r="1" spans="1:29" s="3" customFormat="1" ht="24.75">
      <c r="A1" s="1" t="s">
        <v>254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24.75">
      <c r="A2" s="1" t="s">
        <v>255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s="3" customFormat="1" ht="24.75">
      <c r="A3" s="1" t="s">
        <v>256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s="5" customFormat="1">
      <c r="D4" s="6"/>
      <c r="O4" s="6"/>
    </row>
    <row r="5" spans="1:29" s="5" customFormat="1" ht="15">
      <c r="A5" s="471" t="s">
        <v>182</v>
      </c>
      <c r="D5" s="6"/>
      <c r="O5" s="6"/>
    </row>
    <row r="6" spans="1:29" s="5" customFormat="1">
      <c r="D6" s="6"/>
      <c r="O6" s="6"/>
    </row>
    <row r="7" spans="1:29" s="5" customFormat="1" ht="14.25">
      <c r="A7" s="6" t="s">
        <v>183</v>
      </c>
      <c r="D7" s="6"/>
      <c r="F7" s="472"/>
      <c r="O7" s="6"/>
    </row>
    <row r="8" spans="1:29" s="5" customFormat="1">
      <c r="D8" s="6"/>
      <c r="O8" s="6"/>
    </row>
    <row r="9" spans="1:29" s="5" customFormat="1" ht="12.75" customHeight="1">
      <c r="A9" s="8"/>
      <c r="B9" s="306" t="s">
        <v>2</v>
      </c>
      <c r="C9" s="307"/>
      <c r="D9" s="307"/>
      <c r="E9" s="308"/>
      <c r="F9" s="309" t="s">
        <v>3</v>
      </c>
      <c r="G9" s="310" t="s">
        <v>4</v>
      </c>
      <c r="H9" s="310"/>
      <c r="I9" s="311"/>
      <c r="O9" s="6"/>
    </row>
    <row r="10" spans="1:29" s="5" customFormat="1">
      <c r="A10" s="17"/>
      <c r="B10" s="314"/>
      <c r="C10" s="315"/>
      <c r="D10" s="315"/>
      <c r="E10" s="316"/>
      <c r="F10" s="317"/>
      <c r="G10" s="318"/>
      <c r="H10" s="318"/>
      <c r="I10" s="319"/>
      <c r="O10" s="6"/>
    </row>
    <row r="11" spans="1:29" s="5" customFormat="1">
      <c r="A11" s="26"/>
      <c r="B11" s="322">
        <v>2014</v>
      </c>
      <c r="C11" s="489">
        <v>2015</v>
      </c>
      <c r="D11" s="489">
        <v>2016</v>
      </c>
      <c r="E11" s="489">
        <v>2017</v>
      </c>
      <c r="F11" s="489">
        <v>2018</v>
      </c>
      <c r="G11" s="489">
        <v>2019</v>
      </c>
      <c r="H11" s="489">
        <v>2020</v>
      </c>
      <c r="I11" s="489">
        <v>2021</v>
      </c>
      <c r="O11" s="6"/>
    </row>
    <row r="12" spans="1:29" s="5" customFormat="1">
      <c r="A12" s="481" t="s">
        <v>184</v>
      </c>
      <c r="B12" s="369">
        <f>+B23</f>
        <v>427.1165326106298</v>
      </c>
      <c r="C12" s="537"/>
      <c r="D12" s="537"/>
      <c r="E12" s="537"/>
      <c r="F12" s="537"/>
      <c r="G12" s="537"/>
      <c r="H12" s="537"/>
      <c r="I12" s="538"/>
      <c r="O12" s="6"/>
    </row>
    <row r="13" spans="1:29" s="5" customFormat="1">
      <c r="A13" s="481" t="s">
        <v>185</v>
      </c>
      <c r="B13" s="369">
        <v>416.90757927182801</v>
      </c>
      <c r="C13" s="369">
        <v>396.99675377176163</v>
      </c>
      <c r="D13" s="369">
        <v>381.61694327045075</v>
      </c>
      <c r="E13" s="369">
        <v>353.9863999338877</v>
      </c>
      <c r="F13" s="369">
        <v>352.07073940687258</v>
      </c>
      <c r="G13" s="368">
        <v>341.07073940687258</v>
      </c>
      <c r="H13" s="368">
        <v>330.07073940687258</v>
      </c>
      <c r="I13" s="368">
        <v>319.07073940687258</v>
      </c>
      <c r="O13" s="6"/>
    </row>
    <row r="14" spans="1:29" s="5" customFormat="1">
      <c r="A14" s="481" t="s">
        <v>186</v>
      </c>
      <c r="B14" s="369">
        <v>455</v>
      </c>
      <c r="C14" s="369">
        <v>445</v>
      </c>
      <c r="D14" s="369">
        <v>433</v>
      </c>
      <c r="E14" s="369">
        <v>423</v>
      </c>
      <c r="F14" s="520">
        <v>412</v>
      </c>
      <c r="G14" s="520">
        <v>401</v>
      </c>
      <c r="H14" s="520">
        <v>390</v>
      </c>
      <c r="I14" s="520">
        <v>379</v>
      </c>
      <c r="O14" s="6"/>
    </row>
    <row r="15" spans="1:29">
      <c r="A15" s="481" t="s">
        <v>187</v>
      </c>
      <c r="B15" s="369">
        <f>+$B$12-B13</f>
        <v>10.208953338801791</v>
      </c>
      <c r="C15" s="369">
        <f>+$B$12-C13</f>
        <v>30.119778838868172</v>
      </c>
      <c r="D15" s="369">
        <f t="shared" ref="D15:I15" si="0">+$B$12-D13</f>
        <v>45.499589340179057</v>
      </c>
      <c r="E15" s="369">
        <f t="shared" si="0"/>
        <v>73.130132676742107</v>
      </c>
      <c r="F15" s="369">
        <f t="shared" si="0"/>
        <v>75.045793203757228</v>
      </c>
      <c r="G15" s="369">
        <f t="shared" si="0"/>
        <v>86.045793203757228</v>
      </c>
      <c r="H15" s="369">
        <f t="shared" si="0"/>
        <v>97.045793203757228</v>
      </c>
      <c r="I15" s="369">
        <f t="shared" si="0"/>
        <v>108.04579320375723</v>
      </c>
    </row>
    <row r="16" spans="1:29">
      <c r="A16" s="481" t="s">
        <v>188</v>
      </c>
      <c r="B16" s="482">
        <f>+B15/$B$12</f>
        <v>2.3902032722550991E-2</v>
      </c>
      <c r="C16" s="482">
        <f t="shared" ref="C16:I16" si="1">+C15/$B$12</f>
        <v>7.0518878430599452E-2</v>
      </c>
      <c r="D16" s="482">
        <f t="shared" si="1"/>
        <v>0.10652734292928349</v>
      </c>
      <c r="E16" s="482">
        <f t="shared" si="1"/>
        <v>0.17121822053984825</v>
      </c>
      <c r="F16" s="482">
        <f t="shared" si="1"/>
        <v>0.1757033209299132</v>
      </c>
      <c r="G16" s="482">
        <f t="shared" si="1"/>
        <v>0.20145741649902074</v>
      </c>
      <c r="H16" s="482">
        <f t="shared" si="1"/>
        <v>0.22721151206812829</v>
      </c>
      <c r="I16" s="482">
        <f t="shared" si="1"/>
        <v>0.25296560763723586</v>
      </c>
    </row>
    <row r="18" spans="1:29" s="5" customFormat="1" ht="14.25">
      <c r="A18" s="6" t="s">
        <v>189</v>
      </c>
      <c r="D18" s="6"/>
      <c r="F18" s="472"/>
      <c r="K18" s="6" t="s">
        <v>48</v>
      </c>
      <c r="N18" s="6"/>
      <c r="P18" s="472"/>
      <c r="U18" s="6" t="s">
        <v>49</v>
      </c>
      <c r="X18" s="6"/>
      <c r="Z18" s="472"/>
    </row>
    <row r="19" spans="1:29" s="5" customFormat="1">
      <c r="D19" s="6"/>
      <c r="N19" s="6"/>
      <c r="X19" s="6"/>
    </row>
    <row r="20" spans="1:29" s="5" customFormat="1" ht="12.75" customHeight="1">
      <c r="A20" s="8"/>
      <c r="B20" s="306" t="s">
        <v>2</v>
      </c>
      <c r="C20" s="307"/>
      <c r="D20" s="307"/>
      <c r="E20" s="308"/>
      <c r="F20" s="382" t="s">
        <v>105</v>
      </c>
      <c r="G20" s="310"/>
      <c r="H20" s="310"/>
      <c r="I20" s="311"/>
      <c r="K20" s="8"/>
      <c r="L20" s="306" t="s">
        <v>2</v>
      </c>
      <c r="M20" s="307"/>
      <c r="N20" s="308"/>
      <c r="O20" s="309" t="s">
        <v>3</v>
      </c>
      <c r="P20" s="310" t="s">
        <v>4</v>
      </c>
      <c r="Q20" s="310"/>
      <c r="R20" s="310"/>
      <c r="S20" s="311"/>
      <c r="U20" s="8"/>
      <c r="V20" s="306" t="s">
        <v>2</v>
      </c>
      <c r="W20" s="307"/>
      <c r="X20" s="308"/>
      <c r="Y20" s="524" t="s">
        <v>4</v>
      </c>
      <c r="Z20" s="524"/>
      <c r="AA20" s="524"/>
      <c r="AB20" s="524"/>
      <c r="AC20" s="524"/>
    </row>
    <row r="21" spans="1:29" s="5" customFormat="1">
      <c r="A21" s="17"/>
      <c r="B21" s="314"/>
      <c r="C21" s="315"/>
      <c r="D21" s="315"/>
      <c r="E21" s="316"/>
      <c r="F21" s="385"/>
      <c r="G21" s="318"/>
      <c r="H21" s="318"/>
      <c r="I21" s="319"/>
      <c r="K21" s="17"/>
      <c r="L21" s="314"/>
      <c r="M21" s="315"/>
      <c r="N21" s="316"/>
      <c r="O21" s="317"/>
      <c r="P21" s="318"/>
      <c r="Q21" s="318"/>
      <c r="R21" s="318"/>
      <c r="S21" s="319"/>
      <c r="U21" s="17"/>
      <c r="V21" s="314"/>
      <c r="W21" s="315"/>
      <c r="X21" s="316"/>
      <c r="Y21" s="524"/>
      <c r="Z21" s="524"/>
      <c r="AA21" s="524"/>
      <c r="AB21" s="524"/>
      <c r="AC21" s="524"/>
    </row>
    <row r="22" spans="1:29" s="5" customFormat="1">
      <c r="A22" s="26"/>
      <c r="B22" s="322">
        <v>2014</v>
      </c>
      <c r="C22" s="389">
        <v>2015</v>
      </c>
      <c r="D22" s="389">
        <v>2016</v>
      </c>
      <c r="E22" s="390">
        <v>2017</v>
      </c>
      <c r="F22" s="389">
        <v>2018</v>
      </c>
      <c r="G22" s="390">
        <v>2019</v>
      </c>
      <c r="H22" s="389">
        <v>2020</v>
      </c>
      <c r="I22" s="391">
        <v>2021</v>
      </c>
      <c r="K22" s="26"/>
      <c r="L22" s="322">
        <v>2014</v>
      </c>
      <c r="M22" s="389">
        <v>2015</v>
      </c>
      <c r="N22" s="389">
        <v>2016</v>
      </c>
      <c r="O22" s="390">
        <v>2017</v>
      </c>
      <c r="P22" s="389">
        <v>2018</v>
      </c>
      <c r="Q22" s="390">
        <v>2019</v>
      </c>
      <c r="R22" s="389">
        <v>2020</v>
      </c>
      <c r="S22" s="391">
        <v>2021</v>
      </c>
      <c r="U22" s="26"/>
      <c r="V22" s="322">
        <v>2014</v>
      </c>
      <c r="W22" s="389">
        <v>2015</v>
      </c>
      <c r="X22" s="389">
        <v>2016</v>
      </c>
      <c r="Y22" s="390">
        <v>2017</v>
      </c>
      <c r="Z22" s="389">
        <v>2018</v>
      </c>
      <c r="AA22" s="390">
        <v>2019</v>
      </c>
      <c r="AB22" s="389">
        <v>2020</v>
      </c>
      <c r="AC22" s="391">
        <v>2021</v>
      </c>
    </row>
    <row r="23" spans="1:29" s="5" customFormat="1">
      <c r="A23" s="481" t="s">
        <v>184</v>
      </c>
      <c r="B23" s="539">
        <v>427.1165326106298</v>
      </c>
      <c r="C23" s="537"/>
      <c r="D23" s="537"/>
      <c r="E23" s="537"/>
      <c r="F23" s="537"/>
      <c r="G23" s="537"/>
      <c r="H23" s="537"/>
      <c r="I23" s="538"/>
      <c r="K23" s="481"/>
      <c r="L23" s="511"/>
      <c r="M23" s="511"/>
      <c r="N23" s="511"/>
      <c r="O23" s="511"/>
      <c r="P23" s="511"/>
      <c r="Q23" s="511"/>
      <c r="R23" s="511"/>
      <c r="S23" s="511"/>
      <c r="U23" s="481"/>
      <c r="V23" s="511"/>
      <c r="W23" s="511"/>
      <c r="X23" s="511"/>
      <c r="Y23" s="511"/>
      <c r="Z23" s="511"/>
      <c r="AA23" s="511"/>
      <c r="AB23" s="511"/>
      <c r="AC23" s="511"/>
    </row>
    <row r="24" spans="1:29" s="5" customFormat="1">
      <c r="A24" s="481" t="s">
        <v>185</v>
      </c>
      <c r="B24" s="369">
        <v>416.90757927182801</v>
      </c>
      <c r="C24" s="369">
        <v>396.99675377176163</v>
      </c>
      <c r="D24" s="369">
        <v>381.61694327045075</v>
      </c>
      <c r="E24" s="369">
        <v>353.9863999338877</v>
      </c>
      <c r="F24" s="369">
        <v>342.99</v>
      </c>
      <c r="G24" s="369">
        <v>331.99</v>
      </c>
      <c r="H24" s="369">
        <v>320.99</v>
      </c>
      <c r="I24" s="369">
        <v>309.99</v>
      </c>
      <c r="K24" s="481" t="s">
        <v>185</v>
      </c>
      <c r="L24" s="369">
        <f t="shared" ref="L24:S24" si="2">B13-B24</f>
        <v>0</v>
      </c>
      <c r="M24" s="369">
        <f t="shared" si="2"/>
        <v>0</v>
      </c>
      <c r="N24" s="369">
        <f t="shared" si="2"/>
        <v>0</v>
      </c>
      <c r="O24" s="369">
        <f t="shared" si="2"/>
        <v>0</v>
      </c>
      <c r="P24" s="369">
        <f t="shared" si="2"/>
        <v>9.0807394068725671</v>
      </c>
      <c r="Q24" s="369">
        <f t="shared" si="2"/>
        <v>9.0807394068725671</v>
      </c>
      <c r="R24" s="369">
        <f t="shared" si="2"/>
        <v>9.0807394068725671</v>
      </c>
      <c r="S24" s="369">
        <f t="shared" si="2"/>
        <v>9.0807394068725671</v>
      </c>
      <c r="U24" s="481" t="s">
        <v>185</v>
      </c>
      <c r="V24" s="482">
        <f t="shared" ref="V24:AC25" si="3">L24/B24</f>
        <v>0</v>
      </c>
      <c r="W24" s="482">
        <f t="shared" si="3"/>
        <v>0</v>
      </c>
      <c r="X24" s="482">
        <f t="shared" si="3"/>
        <v>0</v>
      </c>
      <c r="Y24" s="482">
        <f t="shared" si="3"/>
        <v>0</v>
      </c>
      <c r="Z24" s="482">
        <f t="shared" si="3"/>
        <v>2.647523078478255E-2</v>
      </c>
      <c r="AA24" s="482">
        <f t="shared" si="3"/>
        <v>2.7352448588429071E-2</v>
      </c>
      <c r="AB24" s="482">
        <f t="shared" si="3"/>
        <v>2.8289789111413336E-2</v>
      </c>
      <c r="AC24" s="482">
        <f t="shared" si="3"/>
        <v>2.9293652720644429E-2</v>
      </c>
    </row>
    <row r="25" spans="1:29">
      <c r="A25" s="481" t="s">
        <v>187</v>
      </c>
      <c r="B25" s="369">
        <v>10.208953338801791</v>
      </c>
      <c r="C25" s="369">
        <v>30.119778838868172</v>
      </c>
      <c r="D25" s="369">
        <v>45.499589340179057</v>
      </c>
      <c r="E25" s="369">
        <v>73.130132676742107</v>
      </c>
      <c r="F25" s="369">
        <v>84.126532610629795</v>
      </c>
      <c r="G25" s="369">
        <v>95.126532610629795</v>
      </c>
      <c r="H25" s="369">
        <v>106.12653261062979</v>
      </c>
      <c r="I25" s="369">
        <v>117.12653261062979</v>
      </c>
      <c r="K25" s="481" t="s">
        <v>187</v>
      </c>
      <c r="L25" s="369">
        <f t="shared" ref="L25:S25" si="4">B15-B25</f>
        <v>0</v>
      </c>
      <c r="M25" s="369">
        <f t="shared" si="4"/>
        <v>0</v>
      </c>
      <c r="N25" s="369">
        <f t="shared" si="4"/>
        <v>0</v>
      </c>
      <c r="O25" s="369">
        <f t="shared" si="4"/>
        <v>0</v>
      </c>
      <c r="P25" s="369">
        <f t="shared" si="4"/>
        <v>-9.0807394068725671</v>
      </c>
      <c r="Q25" s="369">
        <f t="shared" si="4"/>
        <v>-9.0807394068725671</v>
      </c>
      <c r="R25" s="369">
        <f t="shared" si="4"/>
        <v>-9.0807394068725671</v>
      </c>
      <c r="S25" s="369">
        <f t="shared" si="4"/>
        <v>-9.0807394068725671</v>
      </c>
      <c r="U25" s="481" t="s">
        <v>187</v>
      </c>
      <c r="V25" s="482">
        <f t="shared" si="3"/>
        <v>0</v>
      </c>
      <c r="W25" s="482">
        <f t="shared" si="3"/>
        <v>0</v>
      </c>
      <c r="X25" s="482">
        <f t="shared" si="3"/>
        <v>0</v>
      </c>
      <c r="Y25" s="482">
        <f t="shared" si="3"/>
        <v>0</v>
      </c>
      <c r="Z25" s="482">
        <f t="shared" si="3"/>
        <v>-0.10794144397822443</v>
      </c>
      <c r="AA25" s="482">
        <f t="shared" si="3"/>
        <v>-9.5459585855417292E-2</v>
      </c>
      <c r="AB25" s="482">
        <f t="shared" si="3"/>
        <v>-8.5565213368358234E-2</v>
      </c>
      <c r="AC25" s="482">
        <f t="shared" si="3"/>
        <v>-7.7529311288161928E-2</v>
      </c>
    </row>
    <row r="26" spans="1:29">
      <c r="A26" s="481" t="s">
        <v>188</v>
      </c>
      <c r="B26" s="540">
        <f>+B25/$B$12</f>
        <v>2.3902032722550991E-2</v>
      </c>
      <c r="C26" s="540">
        <f t="shared" ref="C26:I26" si="5">+C25/$B$12</f>
        <v>7.0518878430599452E-2</v>
      </c>
      <c r="D26" s="540">
        <f t="shared" si="5"/>
        <v>0.10652734292928349</v>
      </c>
      <c r="E26" s="540">
        <f t="shared" si="5"/>
        <v>0.17121822053984825</v>
      </c>
      <c r="F26" s="540">
        <f t="shared" si="5"/>
        <v>0.19696388734107295</v>
      </c>
      <c r="G26" s="540">
        <f t="shared" si="5"/>
        <v>0.2227179829101805</v>
      </c>
      <c r="H26" s="540">
        <f t="shared" si="5"/>
        <v>0.24847207847928804</v>
      </c>
      <c r="I26" s="540">
        <f t="shared" si="5"/>
        <v>0.27422617404839555</v>
      </c>
    </row>
    <row r="27" spans="1:29" s="5" customFormat="1" ht="14.25">
      <c r="A27" s="6" t="s">
        <v>190</v>
      </c>
      <c r="D27" s="6"/>
      <c r="F27" s="472"/>
      <c r="K27" s="6" t="s">
        <v>108</v>
      </c>
      <c r="N27" s="6"/>
      <c r="P27" s="472"/>
      <c r="U27" s="6" t="s">
        <v>109</v>
      </c>
      <c r="X27" s="6"/>
      <c r="Z27" s="472"/>
    </row>
    <row r="28" spans="1:29" s="5" customFormat="1">
      <c r="D28" s="6"/>
      <c r="N28" s="6"/>
      <c r="X28" s="6"/>
    </row>
    <row r="29" spans="1:29" s="5" customFormat="1" ht="38.25">
      <c r="A29" s="6"/>
      <c r="B29" s="483" t="s">
        <v>107</v>
      </c>
      <c r="H29" s="6"/>
      <c r="K29" s="6"/>
      <c r="L29" s="483" t="s">
        <v>107</v>
      </c>
      <c r="R29" s="6"/>
      <c r="U29" s="6"/>
      <c r="V29" s="483" t="s">
        <v>107</v>
      </c>
      <c r="AB29" s="6"/>
    </row>
    <row r="30" spans="1:29" s="5" customFormat="1">
      <c r="A30" s="481" t="s">
        <v>187</v>
      </c>
      <c r="B30" s="530">
        <v>-0.16703296703296699</v>
      </c>
      <c r="H30" s="6"/>
      <c r="K30" s="481" t="s">
        <v>187</v>
      </c>
      <c r="L30" s="369">
        <f>I15-B12*B30</f>
        <v>179.38833491454375</v>
      </c>
      <c r="R30" s="6"/>
      <c r="U30" s="481" t="s">
        <v>187</v>
      </c>
      <c r="V30" s="482">
        <f>+(I16-B30)</f>
        <v>0.41999857467020285</v>
      </c>
      <c r="AB30" s="6"/>
    </row>
    <row r="33" spans="1:29" s="5" customFormat="1" ht="14.25">
      <c r="A33" s="6" t="s">
        <v>191</v>
      </c>
      <c r="D33" s="6"/>
      <c r="F33" s="472"/>
      <c r="O33" s="6"/>
    </row>
    <row r="34" spans="1:29" s="5" customFormat="1">
      <c r="D34" s="6"/>
      <c r="O34" s="6"/>
    </row>
    <row r="35" spans="1:29" s="5" customFormat="1" ht="12.75" customHeight="1">
      <c r="A35" s="8"/>
      <c r="B35" s="306" t="s">
        <v>2</v>
      </c>
      <c r="C35" s="307"/>
      <c r="D35" s="307"/>
      <c r="E35" s="308"/>
      <c r="F35" s="309" t="s">
        <v>3</v>
      </c>
      <c r="G35" s="310" t="s">
        <v>4</v>
      </c>
      <c r="H35" s="310"/>
      <c r="I35" s="311"/>
      <c r="O35" s="6"/>
    </row>
    <row r="36" spans="1:29" s="5" customFormat="1">
      <c r="A36" s="17"/>
      <c r="B36" s="314"/>
      <c r="C36" s="315"/>
      <c r="D36" s="315"/>
      <c r="E36" s="316"/>
      <c r="F36" s="317"/>
      <c r="G36" s="318"/>
      <c r="H36" s="318"/>
      <c r="I36" s="319"/>
      <c r="O36" s="6"/>
    </row>
    <row r="37" spans="1:29" s="5" customFormat="1">
      <c r="A37" s="26"/>
      <c r="B37" s="322">
        <v>2014</v>
      </c>
      <c r="C37" s="489">
        <v>2015</v>
      </c>
      <c r="D37" s="489">
        <v>2016</v>
      </c>
      <c r="E37" s="489">
        <v>2017</v>
      </c>
      <c r="F37" s="489">
        <v>2018</v>
      </c>
      <c r="G37" s="489">
        <v>2019</v>
      </c>
      <c r="H37" s="489">
        <v>2020</v>
      </c>
      <c r="I37" s="489">
        <v>2021</v>
      </c>
      <c r="O37" s="6"/>
    </row>
    <row r="38" spans="1:29" s="5" customFormat="1">
      <c r="A38" s="481" t="s">
        <v>192</v>
      </c>
      <c r="B38" s="369">
        <f>+B49</f>
        <v>404.56815838161583</v>
      </c>
      <c r="C38" s="537"/>
      <c r="D38" s="537"/>
      <c r="E38" s="537"/>
      <c r="F38" s="537"/>
      <c r="G38" s="537"/>
      <c r="H38" s="537"/>
      <c r="I38" s="538"/>
      <c r="O38" s="6"/>
    </row>
    <row r="39" spans="1:29" s="5" customFormat="1">
      <c r="A39" s="481" t="s">
        <v>193</v>
      </c>
      <c r="B39" s="369">
        <v>395.15971327182802</v>
      </c>
      <c r="C39" s="369">
        <v>374.87604074479464</v>
      </c>
      <c r="D39" s="369">
        <v>360.13771712948073</v>
      </c>
      <c r="E39" s="369">
        <v>331.97684313653269</v>
      </c>
      <c r="F39" s="484">
        <v>328.6760325416036</v>
      </c>
      <c r="G39" s="368">
        <v>316.67599999999999</v>
      </c>
      <c r="H39" s="368">
        <v>306.67599999999999</v>
      </c>
      <c r="I39" s="368">
        <v>294.67599999999999</v>
      </c>
      <c r="O39" s="6"/>
    </row>
    <row r="40" spans="1:29" s="5" customFormat="1">
      <c r="A40" s="481" t="s">
        <v>194</v>
      </c>
      <c r="B40" s="369">
        <v>430</v>
      </c>
      <c r="C40" s="369">
        <v>420</v>
      </c>
      <c r="D40" s="369">
        <v>408</v>
      </c>
      <c r="E40" s="369">
        <v>398</v>
      </c>
      <c r="F40" s="520">
        <v>386</v>
      </c>
      <c r="G40" s="520">
        <v>376</v>
      </c>
      <c r="H40" s="520">
        <v>364</v>
      </c>
      <c r="I40" s="520">
        <v>354</v>
      </c>
      <c r="O40" s="6"/>
    </row>
    <row r="41" spans="1:29">
      <c r="A41" s="481" t="s">
        <v>195</v>
      </c>
      <c r="B41" s="369">
        <f>+$B$38-B39</f>
        <v>9.4084451097878059</v>
      </c>
      <c r="C41" s="369">
        <f>+$B$38-C39</f>
        <v>29.692117636821195</v>
      </c>
      <c r="D41" s="369">
        <f t="shared" ref="D41:I41" si="6">+$B$38-D39</f>
        <v>44.430441252135097</v>
      </c>
      <c r="E41" s="369">
        <f t="shared" si="6"/>
        <v>72.591315245083138</v>
      </c>
      <c r="F41" s="369">
        <f t="shared" si="6"/>
        <v>75.892125840012227</v>
      </c>
      <c r="G41" s="369">
        <f t="shared" si="6"/>
        <v>87.892158381615843</v>
      </c>
      <c r="H41" s="369">
        <f t="shared" si="6"/>
        <v>97.892158381615843</v>
      </c>
      <c r="I41" s="369">
        <f t="shared" si="6"/>
        <v>109.89215838161584</v>
      </c>
    </row>
    <row r="42" spans="1:29">
      <c r="A42" s="481" t="s">
        <v>196</v>
      </c>
      <c r="B42" s="482">
        <f>+B41/$B$12</f>
        <v>2.2027817683107062E-2</v>
      </c>
      <c r="C42" s="482">
        <f>+C41/$B$38</f>
        <v>7.3392126942460945E-2</v>
      </c>
      <c r="D42" s="482">
        <f t="shared" ref="D42:I42" si="7">+D41/$B$38</f>
        <v>0.10982189362076618</v>
      </c>
      <c r="E42" s="482">
        <f t="shared" si="7"/>
        <v>0.17942913633012644</v>
      </c>
      <c r="F42" s="482">
        <f t="shared" si="7"/>
        <v>0.18758798552906797</v>
      </c>
      <c r="G42" s="482">
        <f t="shared" si="7"/>
        <v>0.21724932266841934</v>
      </c>
      <c r="H42" s="482">
        <f t="shared" si="7"/>
        <v>0.24196703658837479</v>
      </c>
      <c r="I42" s="482">
        <f t="shared" si="7"/>
        <v>0.2716282932923213</v>
      </c>
    </row>
    <row r="44" spans="1:29" s="5" customFormat="1" ht="14.25">
      <c r="A44" s="6" t="s">
        <v>197</v>
      </c>
      <c r="D44" s="6"/>
      <c r="F44" s="472"/>
      <c r="K44" s="6" t="s">
        <v>48</v>
      </c>
      <c r="N44" s="6"/>
      <c r="P44" s="472"/>
      <c r="U44" s="6" t="s">
        <v>49</v>
      </c>
      <c r="X44" s="6"/>
      <c r="Z44" s="472"/>
    </row>
    <row r="45" spans="1:29" s="5" customFormat="1">
      <c r="D45" s="6"/>
      <c r="N45" s="6"/>
      <c r="X45" s="6"/>
    </row>
    <row r="46" spans="1:29" s="5" customFormat="1" ht="12.75" customHeight="1">
      <c r="A46" s="8"/>
      <c r="B46" s="306" t="s">
        <v>2</v>
      </c>
      <c r="C46" s="307"/>
      <c r="D46" s="307"/>
      <c r="E46" s="308"/>
      <c r="F46" s="382" t="s">
        <v>105</v>
      </c>
      <c r="G46" s="310"/>
      <c r="H46" s="310"/>
      <c r="I46" s="311"/>
      <c r="K46" s="8"/>
      <c r="L46" s="306" t="s">
        <v>2</v>
      </c>
      <c r="M46" s="307"/>
      <c r="N46" s="308"/>
      <c r="O46" s="309" t="s">
        <v>3</v>
      </c>
      <c r="P46" s="310" t="s">
        <v>4</v>
      </c>
      <c r="Q46" s="310"/>
      <c r="R46" s="310"/>
      <c r="S46" s="311"/>
      <c r="U46" s="8"/>
      <c r="V46" s="306" t="s">
        <v>2</v>
      </c>
      <c r="W46" s="307"/>
      <c r="X46" s="308"/>
      <c r="Y46" s="524" t="s">
        <v>4</v>
      </c>
      <c r="Z46" s="524"/>
      <c r="AA46" s="524"/>
      <c r="AB46" s="524"/>
      <c r="AC46" s="524"/>
    </row>
    <row r="47" spans="1:29" s="5" customFormat="1">
      <c r="A47" s="17"/>
      <c r="B47" s="314"/>
      <c r="C47" s="315"/>
      <c r="D47" s="315"/>
      <c r="E47" s="316"/>
      <c r="F47" s="385"/>
      <c r="G47" s="318"/>
      <c r="H47" s="318"/>
      <c r="I47" s="319"/>
      <c r="K47" s="17"/>
      <c r="L47" s="314"/>
      <c r="M47" s="315"/>
      <c r="N47" s="316"/>
      <c r="O47" s="317"/>
      <c r="P47" s="318"/>
      <c r="Q47" s="318"/>
      <c r="R47" s="318"/>
      <c r="S47" s="319"/>
      <c r="U47" s="17"/>
      <c r="V47" s="314"/>
      <c r="W47" s="315"/>
      <c r="X47" s="316"/>
      <c r="Y47" s="524"/>
      <c r="Z47" s="524"/>
      <c r="AA47" s="524"/>
      <c r="AB47" s="524"/>
      <c r="AC47" s="524"/>
    </row>
    <row r="48" spans="1:29" s="5" customFormat="1">
      <c r="A48" s="26"/>
      <c r="B48" s="322">
        <v>2014</v>
      </c>
      <c r="C48" s="389">
        <v>2015</v>
      </c>
      <c r="D48" s="389">
        <v>2016</v>
      </c>
      <c r="E48" s="390">
        <v>2017</v>
      </c>
      <c r="F48" s="389">
        <v>2018</v>
      </c>
      <c r="G48" s="390">
        <v>2019</v>
      </c>
      <c r="H48" s="389">
        <v>2020</v>
      </c>
      <c r="I48" s="391">
        <v>2021</v>
      </c>
      <c r="K48" s="26"/>
      <c r="L48" s="322">
        <v>2014</v>
      </c>
      <c r="M48" s="389">
        <v>2015</v>
      </c>
      <c r="N48" s="389">
        <v>2016</v>
      </c>
      <c r="O48" s="390">
        <v>2017</v>
      </c>
      <c r="P48" s="389">
        <v>2018</v>
      </c>
      <c r="Q48" s="390">
        <v>2019</v>
      </c>
      <c r="R48" s="389">
        <v>2020</v>
      </c>
      <c r="S48" s="391">
        <v>2021</v>
      </c>
      <c r="U48" s="26"/>
      <c r="V48" s="322">
        <v>2014</v>
      </c>
      <c r="W48" s="389">
        <v>2015</v>
      </c>
      <c r="X48" s="389">
        <v>2016</v>
      </c>
      <c r="Y48" s="390">
        <v>2017</v>
      </c>
      <c r="Z48" s="389">
        <v>2018</v>
      </c>
      <c r="AA48" s="390">
        <v>2019</v>
      </c>
      <c r="AB48" s="389">
        <v>2020</v>
      </c>
      <c r="AC48" s="391">
        <v>2021</v>
      </c>
    </row>
    <row r="49" spans="1:29" s="5" customFormat="1">
      <c r="A49" s="481" t="s">
        <v>192</v>
      </c>
      <c r="B49" s="541">
        <v>404.56815838161583</v>
      </c>
      <c r="C49" s="542"/>
      <c r="D49" s="542"/>
      <c r="E49" s="542"/>
      <c r="F49" s="542"/>
      <c r="G49" s="542"/>
      <c r="H49" s="542"/>
      <c r="I49" s="543"/>
      <c r="K49" s="481"/>
      <c r="L49" s="511"/>
      <c r="M49" s="511"/>
      <c r="N49" s="511"/>
      <c r="O49" s="511"/>
      <c r="P49" s="511"/>
      <c r="Q49" s="511"/>
      <c r="R49" s="511"/>
      <c r="S49" s="511"/>
      <c r="U49" s="481"/>
      <c r="V49" s="511"/>
      <c r="W49" s="511"/>
      <c r="X49" s="511"/>
      <c r="Y49" s="511"/>
      <c r="Z49" s="511"/>
      <c r="AA49" s="511"/>
      <c r="AB49" s="511"/>
      <c r="AC49" s="511"/>
    </row>
    <row r="50" spans="1:29" s="5" customFormat="1">
      <c r="A50" s="481" t="s">
        <v>193</v>
      </c>
      <c r="B50" s="544">
        <v>395.15971327182802</v>
      </c>
      <c r="C50" s="544">
        <v>374.87604074479464</v>
      </c>
      <c r="D50" s="369">
        <v>360.13771712948073</v>
      </c>
      <c r="E50" s="369">
        <v>331.97684313653269</v>
      </c>
      <c r="F50" s="369">
        <v>319.98</v>
      </c>
      <c r="G50" s="369">
        <v>309.98</v>
      </c>
      <c r="H50" s="369">
        <v>297.98</v>
      </c>
      <c r="I50" s="369">
        <v>287.98</v>
      </c>
      <c r="K50" s="481" t="s">
        <v>193</v>
      </c>
      <c r="L50" s="369">
        <f t="shared" ref="L50:S50" si="8">B39-B50</f>
        <v>0</v>
      </c>
      <c r="M50" s="369">
        <f t="shared" si="8"/>
        <v>0</v>
      </c>
      <c r="N50" s="369">
        <f t="shared" si="8"/>
        <v>0</v>
      </c>
      <c r="O50" s="369">
        <f t="shared" si="8"/>
        <v>0</v>
      </c>
      <c r="P50" s="369">
        <f t="shared" si="8"/>
        <v>8.6960325416035857</v>
      </c>
      <c r="Q50" s="369">
        <f t="shared" si="8"/>
        <v>6.6959999999999695</v>
      </c>
      <c r="R50" s="369">
        <f t="shared" si="8"/>
        <v>8.6959999999999695</v>
      </c>
      <c r="S50" s="369">
        <f t="shared" si="8"/>
        <v>6.6959999999999695</v>
      </c>
      <c r="U50" s="481" t="s">
        <v>193</v>
      </c>
      <c r="V50" s="482">
        <f t="shared" ref="V50:AC51" si="9">L50/B50</f>
        <v>0</v>
      </c>
      <c r="W50" s="482">
        <f t="shared" si="9"/>
        <v>0</v>
      </c>
      <c r="X50" s="482">
        <f t="shared" si="9"/>
        <v>0</v>
      </c>
      <c r="Y50" s="482">
        <f t="shared" si="9"/>
        <v>0</v>
      </c>
      <c r="Z50" s="482">
        <f t="shared" si="9"/>
        <v>2.7176800242526361E-2</v>
      </c>
      <c r="AA50" s="482">
        <f t="shared" si="9"/>
        <v>2.1601393638299146E-2</v>
      </c>
      <c r="AB50" s="482">
        <f t="shared" si="9"/>
        <v>2.9183166655480128E-2</v>
      </c>
      <c r="AC50" s="482">
        <f t="shared" si="9"/>
        <v>2.3251614695464856E-2</v>
      </c>
    </row>
    <row r="51" spans="1:29">
      <c r="A51" s="481" t="s">
        <v>195</v>
      </c>
      <c r="B51" s="369">
        <v>9.4084451097878059</v>
      </c>
      <c r="C51" s="369">
        <v>29.692117636821195</v>
      </c>
      <c r="D51" s="369">
        <v>44.430441252135097</v>
      </c>
      <c r="E51" s="369">
        <v>72.591315245083138</v>
      </c>
      <c r="F51" s="369">
        <v>84.588158381615813</v>
      </c>
      <c r="G51" s="369">
        <v>94.588158381615813</v>
      </c>
      <c r="H51" s="369">
        <v>106.58815838161581</v>
      </c>
      <c r="I51" s="369">
        <v>116.58815838161581</v>
      </c>
      <c r="K51" s="481" t="s">
        <v>195</v>
      </c>
      <c r="L51" s="369">
        <f t="shared" ref="L51:S51" si="10">B41-B51</f>
        <v>0</v>
      </c>
      <c r="M51" s="369">
        <f t="shared" si="10"/>
        <v>0</v>
      </c>
      <c r="N51" s="369">
        <f t="shared" si="10"/>
        <v>0</v>
      </c>
      <c r="O51" s="369">
        <f t="shared" si="10"/>
        <v>0</v>
      </c>
      <c r="P51" s="369">
        <f t="shared" si="10"/>
        <v>-8.6960325416035857</v>
      </c>
      <c r="Q51" s="369">
        <f t="shared" si="10"/>
        <v>-6.6959999999999695</v>
      </c>
      <c r="R51" s="369">
        <f t="shared" si="10"/>
        <v>-8.6959999999999695</v>
      </c>
      <c r="S51" s="369">
        <f t="shared" si="10"/>
        <v>-6.6959999999999695</v>
      </c>
      <c r="U51" s="481" t="s">
        <v>195</v>
      </c>
      <c r="V51" s="482">
        <f t="shared" si="9"/>
        <v>0</v>
      </c>
      <c r="W51" s="482">
        <f t="shared" si="9"/>
        <v>0</v>
      </c>
      <c r="X51" s="482">
        <f t="shared" si="9"/>
        <v>0</v>
      </c>
      <c r="Y51" s="482">
        <f t="shared" si="9"/>
        <v>0</v>
      </c>
      <c r="Z51" s="482">
        <f t="shared" si="9"/>
        <v>-0.10280437247932284</v>
      </c>
      <c r="AA51" s="482">
        <f t="shared" si="9"/>
        <v>-7.0791102338465722E-2</v>
      </c>
      <c r="AB51" s="482">
        <f t="shared" si="9"/>
        <v>-8.1585047833041879E-2</v>
      </c>
      <c r="AC51" s="482">
        <f t="shared" si="9"/>
        <v>-5.7432933952714593E-2</v>
      </c>
    </row>
    <row r="52" spans="1:29">
      <c r="A52" s="481" t="s">
        <v>196</v>
      </c>
      <c r="B52" s="540">
        <f>+B51/$B$12</f>
        <v>2.2027817683107062E-2</v>
      </c>
      <c r="C52" s="540">
        <f>+C51/$B$38</f>
        <v>7.3392126942460945E-2</v>
      </c>
      <c r="D52" s="540">
        <f t="shared" ref="D52:I52" si="11">+D51/$B$38</f>
        <v>0.10982189362076618</v>
      </c>
      <c r="E52" s="540">
        <f t="shared" si="11"/>
        <v>0.17942913633012644</v>
      </c>
      <c r="F52" s="540">
        <f t="shared" si="11"/>
        <v>0.20908258998926602</v>
      </c>
      <c r="G52" s="540">
        <f t="shared" si="11"/>
        <v>0.23380030390922144</v>
      </c>
      <c r="H52" s="540">
        <f t="shared" si="11"/>
        <v>0.26346156061316794</v>
      </c>
      <c r="I52" s="540">
        <f t="shared" si="11"/>
        <v>0.28817927453312336</v>
      </c>
    </row>
    <row r="53" spans="1:29" s="5" customFormat="1" ht="14.25">
      <c r="A53" s="6" t="s">
        <v>198</v>
      </c>
      <c r="D53" s="6"/>
      <c r="F53" s="472"/>
      <c r="K53" s="6" t="s">
        <v>108</v>
      </c>
      <c r="N53" s="6"/>
      <c r="P53" s="472"/>
      <c r="U53" s="6" t="s">
        <v>109</v>
      </c>
      <c r="X53" s="6"/>
      <c r="Z53" s="472"/>
    </row>
    <row r="54" spans="1:29" s="5" customFormat="1">
      <c r="D54" s="6"/>
      <c r="N54" s="6"/>
      <c r="X54" s="6"/>
    </row>
    <row r="55" spans="1:29" s="5" customFormat="1" ht="38.25">
      <c r="A55" s="6"/>
      <c r="B55" s="483" t="s">
        <v>107</v>
      </c>
      <c r="H55" s="6"/>
      <c r="K55" s="6"/>
      <c r="L55" s="483" t="s">
        <v>107</v>
      </c>
      <c r="R55" s="6"/>
      <c r="U55" s="6"/>
      <c r="V55" s="483" t="s">
        <v>107</v>
      </c>
      <c r="AB55" s="6"/>
    </row>
    <row r="56" spans="1:29" s="5" customFormat="1">
      <c r="A56" s="481" t="s">
        <v>195</v>
      </c>
      <c r="B56" s="530">
        <v>-0.17674418604651165</v>
      </c>
      <c r="D56" s="545"/>
      <c r="H56" s="6"/>
      <c r="K56" s="481" t="s">
        <v>195</v>
      </c>
      <c r="L56" s="369">
        <f>I41-B38*B56</f>
        <v>181.39722823511073</v>
      </c>
      <c r="R56" s="6"/>
      <c r="U56" s="481" t="s">
        <v>195</v>
      </c>
      <c r="V56" s="482">
        <f>+(I42-B56)</f>
        <v>0.44837247933883295</v>
      </c>
      <c r="AB56" s="6"/>
    </row>
    <row r="57" spans="1:29">
      <c r="B57" s="546"/>
    </row>
    <row r="67" spans="7:7">
      <c r="G67" s="547"/>
    </row>
    <row r="68" spans="7:7">
      <c r="G68" s="547"/>
    </row>
    <row r="69" spans="7:7">
      <c r="G69" s="547"/>
    </row>
    <row r="70" spans="7:7">
      <c r="G70" s="547"/>
    </row>
    <row r="71" spans="7:7">
      <c r="G71" s="547"/>
    </row>
    <row r="72" spans="7:7">
      <c r="G72" s="547"/>
    </row>
    <row r="73" spans="7:7">
      <c r="G73" s="547"/>
    </row>
    <row r="74" spans="7:7">
      <c r="G74" s="547"/>
    </row>
    <row r="75" spans="7:7">
      <c r="G75" s="547"/>
    </row>
  </sheetData>
  <mergeCells count="20">
    <mergeCell ref="Y46:AC47"/>
    <mergeCell ref="B46:E47"/>
    <mergeCell ref="F46:I47"/>
    <mergeCell ref="L46:N47"/>
    <mergeCell ref="O46:O47"/>
    <mergeCell ref="P46:S47"/>
    <mergeCell ref="V46:X47"/>
    <mergeCell ref="O20:O21"/>
    <mergeCell ref="P20:S21"/>
    <mergeCell ref="V20:X21"/>
    <mergeCell ref="Y20:AC21"/>
    <mergeCell ref="B35:E36"/>
    <mergeCell ref="F35:F36"/>
    <mergeCell ref="G35:I36"/>
    <mergeCell ref="B9:E10"/>
    <mergeCell ref="F9:F10"/>
    <mergeCell ref="G9:I10"/>
    <mergeCell ref="B20:E21"/>
    <mergeCell ref="F20:I21"/>
    <mergeCell ref="L20:N21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E39"/>
  <sheetViews>
    <sheetView zoomScale="110" zoomScaleNormal="110" zoomScaleSheetLayoutView="100" workbookViewId="0">
      <selection activeCell="K83" sqref="K83"/>
    </sheetView>
  </sheetViews>
  <sheetFormatPr defaultColWidth="8.85546875" defaultRowHeight="12.75"/>
  <cols>
    <col min="1" max="1" width="53.7109375" style="550" customWidth="1"/>
    <col min="2" max="3" width="24.42578125" style="550" customWidth="1"/>
    <col min="4" max="4" width="13" style="608" customWidth="1"/>
    <col min="5" max="16384" width="8.85546875" style="550"/>
  </cols>
  <sheetData>
    <row r="1" spans="1:5" ht="24.75">
      <c r="A1" s="1" t="s">
        <v>254</v>
      </c>
      <c r="B1" s="548"/>
      <c r="C1" s="548"/>
      <c r="D1" s="549"/>
    </row>
    <row r="2" spans="1:5" ht="24.75">
      <c r="A2" s="1" t="s">
        <v>255</v>
      </c>
      <c r="B2" s="548"/>
      <c r="C2" s="548"/>
      <c r="D2" s="549"/>
    </row>
    <row r="3" spans="1:5" ht="24.75">
      <c r="A3" s="1" t="s">
        <v>256</v>
      </c>
      <c r="B3" s="548"/>
      <c r="C3" s="548"/>
      <c r="D3" s="549"/>
    </row>
    <row r="4" spans="1:5" ht="25.5" thickBot="1">
      <c r="A4" s="551" t="s">
        <v>199</v>
      </c>
      <c r="B4" s="552"/>
      <c r="C4" s="552"/>
      <c r="D4" s="553"/>
    </row>
    <row r="5" spans="1:5" ht="25.5">
      <c r="A5" s="554" t="s">
        <v>200</v>
      </c>
      <c r="B5" s="555"/>
      <c r="C5" s="556"/>
      <c r="D5" s="557" t="s">
        <v>201</v>
      </c>
    </row>
    <row r="6" spans="1:5" ht="33.75" customHeight="1">
      <c r="A6" s="558" t="s">
        <v>202</v>
      </c>
      <c r="B6" s="559" t="s">
        <v>203</v>
      </c>
      <c r="C6" s="559" t="s">
        <v>204</v>
      </c>
      <c r="D6" s="560">
        <v>2534107</v>
      </c>
    </row>
    <row r="7" spans="1:5" ht="33.75" customHeight="1" thickBot="1">
      <c r="A7" s="561" t="s">
        <v>205</v>
      </c>
      <c r="B7" s="562" t="s">
        <v>87</v>
      </c>
      <c r="C7" s="562" t="s">
        <v>204</v>
      </c>
      <c r="D7" s="563">
        <v>36116.204030000008</v>
      </c>
      <c r="E7" s="564"/>
    </row>
    <row r="8" spans="1:5" ht="24" customHeight="1">
      <c r="A8" s="554" t="s">
        <v>206</v>
      </c>
      <c r="B8" s="555"/>
      <c r="C8" s="565"/>
      <c r="D8" s="566"/>
      <c r="E8" s="564"/>
    </row>
    <row r="9" spans="1:5" ht="33.75" customHeight="1" thickBot="1">
      <c r="A9" s="561" t="s">
        <v>207</v>
      </c>
      <c r="B9" s="562" t="s">
        <v>208</v>
      </c>
      <c r="C9" s="562" t="s">
        <v>204</v>
      </c>
      <c r="D9" s="567">
        <v>0.99998200562447315</v>
      </c>
      <c r="E9" s="564"/>
    </row>
    <row r="10" spans="1:5" ht="33.75" customHeight="1">
      <c r="A10" s="568" t="s">
        <v>209</v>
      </c>
      <c r="B10" s="559" t="s">
        <v>210</v>
      </c>
      <c r="C10" s="559" t="s">
        <v>204</v>
      </c>
      <c r="D10" s="569">
        <v>13714</v>
      </c>
      <c r="E10" s="564"/>
    </row>
    <row r="11" spans="1:5" ht="33.75" customHeight="1">
      <c r="A11" s="570"/>
      <c r="B11" s="559" t="s">
        <v>211</v>
      </c>
      <c r="C11" s="559" t="s">
        <v>204</v>
      </c>
      <c r="D11" s="571">
        <f>+D10/D6</f>
        <v>5.4117683270674833E-3</v>
      </c>
      <c r="E11" s="564"/>
    </row>
    <row r="12" spans="1:5" ht="33.75" customHeight="1">
      <c r="A12" s="572"/>
      <c r="B12" s="559" t="s">
        <v>212</v>
      </c>
      <c r="C12" s="559" t="s">
        <v>204</v>
      </c>
      <c r="D12" s="573">
        <v>410.5792081085022</v>
      </c>
      <c r="E12" s="564"/>
    </row>
    <row r="13" spans="1:5" ht="33.75" customHeight="1">
      <c r="A13" s="558" t="s">
        <v>213</v>
      </c>
      <c r="B13" s="559" t="s">
        <v>214</v>
      </c>
      <c r="C13" s="559" t="s">
        <v>204</v>
      </c>
      <c r="D13" s="574" t="s">
        <v>258</v>
      </c>
    </row>
    <row r="14" spans="1:5" ht="15.95" customHeight="1" thickBot="1">
      <c r="A14" s="575"/>
      <c r="B14" s="576"/>
      <c r="C14" s="576"/>
      <c r="D14" s="577"/>
    </row>
    <row r="15" spans="1:5" ht="23.25" customHeight="1">
      <c r="A15" s="578" t="s">
        <v>215</v>
      </c>
      <c r="B15" s="579"/>
      <c r="C15" s="580"/>
      <c r="D15" s="581"/>
    </row>
    <row r="16" spans="1:5" ht="15.95" customHeight="1">
      <c r="A16" s="558" t="s">
        <v>216</v>
      </c>
      <c r="B16" s="559" t="s">
        <v>217</v>
      </c>
      <c r="C16" s="559" t="s">
        <v>218</v>
      </c>
      <c r="D16" s="582">
        <v>9.4467713787085508</v>
      </c>
    </row>
    <row r="17" spans="1:4" ht="15.95" customHeight="1">
      <c r="A17" s="558" t="s">
        <v>219</v>
      </c>
      <c r="B17" s="559" t="s">
        <v>217</v>
      </c>
      <c r="C17" s="559" t="s">
        <v>220</v>
      </c>
      <c r="D17" s="582">
        <v>8.8476150274377368</v>
      </c>
    </row>
    <row r="18" spans="1:4" ht="15.95" customHeight="1">
      <c r="A18" s="558" t="s">
        <v>221</v>
      </c>
      <c r="B18" s="559" t="s">
        <v>217</v>
      </c>
      <c r="C18" s="559" t="s">
        <v>222</v>
      </c>
      <c r="D18" s="582">
        <v>9.1388888888888893</v>
      </c>
    </row>
    <row r="19" spans="1:4" ht="26.25" thickBot="1">
      <c r="A19" s="583" t="s">
        <v>223</v>
      </c>
      <c r="B19" s="584" t="s">
        <v>224</v>
      </c>
      <c r="C19" s="584" t="s">
        <v>225</v>
      </c>
      <c r="D19" s="585">
        <v>3.3519553072625698</v>
      </c>
    </row>
    <row r="20" spans="1:4" ht="23.25" customHeight="1">
      <c r="A20" s="586" t="s">
        <v>8</v>
      </c>
      <c r="B20" s="587"/>
      <c r="C20" s="587"/>
      <c r="D20" s="588"/>
    </row>
    <row r="21" spans="1:4" ht="15">
      <c r="A21" s="589" t="s">
        <v>226</v>
      </c>
      <c r="B21" s="590" t="s">
        <v>227</v>
      </c>
      <c r="C21" s="559" t="s">
        <v>228</v>
      </c>
      <c r="D21" s="591">
        <v>0.99661323097764731</v>
      </c>
    </row>
    <row r="22" spans="1:4" ht="21.75" customHeight="1" thickBot="1">
      <c r="A22" s="589" t="s">
        <v>229</v>
      </c>
      <c r="B22" s="592" t="s">
        <v>227</v>
      </c>
      <c r="C22" s="559" t="s">
        <v>228</v>
      </c>
      <c r="D22" s="593">
        <v>0.97791164658634533</v>
      </c>
    </row>
    <row r="23" spans="1:4" ht="24" customHeight="1">
      <c r="A23" s="586" t="s">
        <v>230</v>
      </c>
      <c r="B23" s="587"/>
      <c r="C23" s="587"/>
      <c r="D23" s="588"/>
    </row>
    <row r="24" spans="1:4" ht="15.95" customHeight="1">
      <c r="A24" s="589" t="s">
        <v>231</v>
      </c>
      <c r="B24" s="559" t="s">
        <v>203</v>
      </c>
      <c r="C24" s="559" t="s">
        <v>228</v>
      </c>
      <c r="D24" s="594">
        <f>'2.3 Workload summary'!G24</f>
        <v>2099</v>
      </c>
    </row>
    <row r="25" spans="1:4" ht="29.25" customHeight="1" thickBot="1">
      <c r="A25" s="595" t="s">
        <v>232</v>
      </c>
      <c r="B25" s="562" t="s">
        <v>233</v>
      </c>
      <c r="C25" s="562" t="s">
        <v>204</v>
      </c>
      <c r="D25" s="596">
        <f>SUM('2.3 Workload summary'!C24:G24)/SUM('2.3 Workload summary'!C82:G82)-1</f>
        <v>0.15026854073820139</v>
      </c>
    </row>
    <row r="26" spans="1:4" ht="24" customHeight="1">
      <c r="A26" s="578" t="s">
        <v>234</v>
      </c>
      <c r="B26" s="579"/>
      <c r="C26" s="579"/>
      <c r="D26" s="579"/>
    </row>
    <row r="27" spans="1:4" ht="15.95" customHeight="1">
      <c r="A27" s="558" t="s">
        <v>235</v>
      </c>
      <c r="B27" s="559" t="s">
        <v>236</v>
      </c>
      <c r="C27" s="559" t="s">
        <v>237</v>
      </c>
      <c r="D27" s="593">
        <v>0.99613619042555079</v>
      </c>
    </row>
    <row r="28" spans="1:4" ht="15.95" customHeight="1">
      <c r="A28" s="558" t="s">
        <v>238</v>
      </c>
      <c r="B28" s="559" t="s">
        <v>236</v>
      </c>
      <c r="C28" s="559" t="s">
        <v>237</v>
      </c>
      <c r="D28" s="593">
        <v>0.99723889113868125</v>
      </c>
    </row>
    <row r="29" spans="1:4" ht="15.95" customHeight="1">
      <c r="A29" s="558" t="s">
        <v>239</v>
      </c>
      <c r="B29" s="559" t="s">
        <v>233</v>
      </c>
      <c r="C29" s="559" t="s">
        <v>228</v>
      </c>
      <c r="D29" s="593">
        <f>'2.4 Safety'!F39/'2.4 Safety'!B38</f>
        <v>0.56035646440175391</v>
      </c>
    </row>
    <row r="30" spans="1:4" ht="15.95" customHeight="1" thickBot="1">
      <c r="A30" s="597" t="s">
        <v>240</v>
      </c>
      <c r="B30" s="584" t="s">
        <v>233</v>
      </c>
      <c r="C30" s="584" t="s">
        <v>228</v>
      </c>
      <c r="D30" s="598">
        <f>'2.4 Safety'!F13/('2.4 Safety'!B30/8)</f>
        <v>1.6863648156140401</v>
      </c>
    </row>
    <row r="31" spans="1:4" ht="28.5" customHeight="1">
      <c r="A31" s="554" t="s">
        <v>241</v>
      </c>
      <c r="B31" s="555"/>
      <c r="C31" s="556"/>
      <c r="D31" s="588"/>
    </row>
    <row r="32" spans="1:4" ht="15.95" customHeight="1">
      <c r="A32" s="558" t="s">
        <v>242</v>
      </c>
      <c r="B32" s="559" t="s">
        <v>243</v>
      </c>
      <c r="C32" s="559" t="s">
        <v>204</v>
      </c>
      <c r="D32" s="599">
        <f>'2.6 Environmental'!F24-'2.6 Environmental'!E24</f>
        <v>-10.996399933887687</v>
      </c>
    </row>
    <row r="33" spans="1:4" ht="15.95" customHeight="1">
      <c r="A33" s="558" t="s">
        <v>244</v>
      </c>
      <c r="B33" s="559" t="s">
        <v>245</v>
      </c>
      <c r="C33" s="559" t="s">
        <v>228</v>
      </c>
      <c r="D33" s="600">
        <f>'2.6 Environmental'!V30</f>
        <v>0.41999857467020285</v>
      </c>
    </row>
    <row r="34" spans="1:4" ht="15.95" customHeight="1" thickBot="1">
      <c r="A34" s="597" t="s">
        <v>246</v>
      </c>
      <c r="B34" s="584" t="s">
        <v>247</v>
      </c>
      <c r="C34" s="584" t="s">
        <v>204</v>
      </c>
      <c r="D34" s="601" t="s">
        <v>259</v>
      </c>
    </row>
    <row r="35" spans="1:4" ht="16.5" customHeight="1">
      <c r="A35" s="586" t="s">
        <v>248</v>
      </c>
      <c r="B35" s="587"/>
      <c r="C35" s="587"/>
      <c r="D35" s="602"/>
    </row>
    <row r="36" spans="1:4" ht="16.5" customHeight="1">
      <c r="A36" s="558" t="s">
        <v>249</v>
      </c>
      <c r="B36" s="590" t="s">
        <v>250</v>
      </c>
      <c r="C36" s="590" t="s">
        <v>251</v>
      </c>
      <c r="D36" s="599">
        <f>'2.2 Totex costs summary'!$F$37</f>
        <v>226.88474483442363</v>
      </c>
    </row>
    <row r="37" spans="1:4" ht="16.5" customHeight="1">
      <c r="A37" s="558" t="s">
        <v>252</v>
      </c>
      <c r="B37" s="590" t="s">
        <v>227</v>
      </c>
      <c r="C37" s="590" t="s">
        <v>204</v>
      </c>
      <c r="D37" s="600">
        <f>-'2.2 Totex costs summary'!AB137</f>
        <v>0.11737972819158385</v>
      </c>
    </row>
    <row r="38" spans="1:4" ht="16.5" customHeight="1" thickBot="1">
      <c r="A38" s="561" t="s">
        <v>253</v>
      </c>
      <c r="B38" s="603" t="s">
        <v>250</v>
      </c>
      <c r="C38" s="604" t="s">
        <v>204</v>
      </c>
      <c r="D38" s="605">
        <f>'2.2 Totex costs summary'!$F$43</f>
        <v>78.683962903250006</v>
      </c>
    </row>
    <row r="39" spans="1:4">
      <c r="A39" s="606"/>
      <c r="B39" s="606"/>
      <c r="C39" s="606"/>
      <c r="D39" s="607"/>
    </row>
  </sheetData>
  <mergeCells count="6">
    <mergeCell ref="A5:B5"/>
    <mergeCell ref="A8:B8"/>
    <mergeCell ref="A10:A12"/>
    <mergeCell ref="A15:B15"/>
    <mergeCell ref="A26:D26"/>
    <mergeCell ref="A31:B31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CC09D62A5ADF41A33FBCBB5CF226BF" ma:contentTypeVersion="6" ma:contentTypeDescription="Create a new document." ma:contentTypeScope="" ma:versionID="b5b2a00eb49ab18bba31bf3ad67e342a">
  <xsd:schema xmlns:xsd="http://www.w3.org/2001/XMLSchema" xmlns:xs="http://www.w3.org/2001/XMLSchema" xmlns:p="http://schemas.microsoft.com/office/2006/metadata/properties" xmlns:ns2="6297acb5-b427-4e3a-8a78-26c3255ecaf7" xmlns:ns3="5f27d59f-3ffa-4bd3-aea7-2c6740acf1ff" targetNamespace="http://schemas.microsoft.com/office/2006/metadata/properties" ma:root="true" ma:fieldsID="d6ca915090d58e9a41dc3b7d5c284080" ns2:_="" ns3:_="">
    <xsd:import namespace="6297acb5-b427-4e3a-8a78-26c3255ecaf7"/>
    <xsd:import namespace="5f27d59f-3ffa-4bd3-aea7-2c6740acf1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97acb5-b427-4e3a-8a78-26c3255ec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27d59f-3ffa-4bd3-aea7-2c6740acf1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f27d59f-3ffa-4bd3-aea7-2c6740acf1ff">
      <UserInfo>
        <DisplayName>Jonathan Trapps</DisplayName>
        <AccountId>122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9001673-0253-46DE-B6C1-C6151264A8E8}"/>
</file>

<file path=customXml/itemProps2.xml><?xml version="1.0" encoding="utf-8"?>
<ds:datastoreItem xmlns:ds="http://schemas.openxmlformats.org/officeDocument/2006/customXml" ds:itemID="{DB5CC73A-796B-415D-A6D5-851977FD6E42}"/>
</file>

<file path=customXml/itemProps3.xml><?xml version="1.0" encoding="utf-8"?>
<ds:datastoreItem xmlns:ds="http://schemas.openxmlformats.org/officeDocument/2006/customXml" ds:itemID="{77EEECE1-1FBB-4811-AFF8-D4D8F18492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2.2 Totex costs summary</vt:lpstr>
      <vt:lpstr>2.3 Workload summary</vt:lpstr>
      <vt:lpstr>2.4 Safety</vt:lpstr>
      <vt:lpstr>2.5 Reliability</vt:lpstr>
      <vt:lpstr>2.6 Environmental</vt:lpstr>
      <vt:lpstr>2.7 Performance Snapshot</vt:lpstr>
      <vt:lpstr>'2.7 Performance Snapshot'!_ftnref5</vt:lpstr>
      <vt:lpstr>'2.7 Performance Snapshot'!_Ref457995664</vt:lpstr>
      <vt:lpstr>'2.4 Safety'!Print_Area</vt:lpstr>
      <vt:lpstr>'2.7 Performance Snapshot'!Print_Area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Pearson Finance</dc:creator>
  <cp:lastModifiedBy>David Pearson Finance</cp:lastModifiedBy>
  <dcterms:created xsi:type="dcterms:W3CDTF">2018-07-31T14:02:39Z</dcterms:created>
  <dcterms:modified xsi:type="dcterms:W3CDTF">2018-07-31T14:03:26Z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NGNTP\dpearson</vt:lpwstr>
  </property>
  <property fmtid="{D5CDD505-2E9C-101B-9397-08002B2CF9AE}" pid="4" name="DLPManualFileClassificationLastModificationDate">
    <vt:lpwstr>1533045790</vt:lpwstr>
  </property>
  <property fmtid="{D5CDD505-2E9C-101B-9397-08002B2CF9AE}" pid="5" name="DLPManualFileClassificationVersion">
    <vt:lpwstr>11.0.300.84</vt:lpwstr>
  </property>
  <property fmtid="{D5CDD505-2E9C-101B-9397-08002B2CF9AE}" pid="6" name="Applicable Start Date">
    <vt:filetime>2011-06-21T23:00:00Z</vt:filetime>
  </property>
  <property fmtid="{D5CDD505-2E9C-101B-9397-08002B2CF9AE}" pid="7" name="bjCentreHeaderLabel">
    <vt:lpwstr>&amp;"Verdana,Regular"&amp;10&amp;K000000Internal Only</vt:lpwstr>
  </property>
  <property fmtid="{D5CDD505-2E9C-101B-9397-08002B2CF9AE}" pid="8" name="BJSCc5a055b0-1bed-4579_x">
    <vt:lpwstr/>
  </property>
  <property fmtid="{D5CDD505-2E9C-101B-9397-08002B2CF9AE}" pid="9" name="Publication Date:">
    <vt:filetime>2013-05-08T00:00:00Z</vt:filetime>
  </property>
  <property fmtid="{D5CDD505-2E9C-101B-9397-08002B2CF9AE}" pid="10" name="Organisation">
    <vt:lpwstr>Choose an Organisation</vt:lpwstr>
  </property>
  <property fmtid="{D5CDD505-2E9C-101B-9397-08002B2CF9AE}" pid="11" name="ContentTypeId">
    <vt:lpwstr>0x01010067CC09D62A5ADF41A33FBCBB5CF226BF</vt:lpwstr>
  </property>
  <property fmtid="{D5CDD505-2E9C-101B-9397-08002B2CF9AE}" pid="12" name="BJSCSummaryMarking">
    <vt:lpwstr>OFFICIAL Internal Only</vt:lpwstr>
  </property>
  <property fmtid="{D5CDD505-2E9C-101B-9397-08002B2CF9AE}" pid="13" name="BJSCInternalLabel">
    <vt:lpwstr>&lt;?xml version="1.0" encoding="us-ascii"?&gt;&lt;sisl xmlns:xsi="http://www.w3.org/2001/XMLSchema-instance" xmlns:xsd="http://www.w3.org/2001/XMLSchema" sislVersion="0" policy="973096ae-7329-4b3b-9368-47aeba6959e1" xmlns="http://www.boldonjames.com/2008/01/sie/i</vt:lpwstr>
  </property>
  <property fmtid="{D5CDD505-2E9C-101B-9397-08002B2CF9AE}" pid="14" name="bjCentreFooterLabel">
    <vt:lpwstr>&amp;"Verdana,Regular"&amp;10&amp;K000000Internal Only</vt:lpwstr>
  </property>
  <property fmtid="{D5CDD505-2E9C-101B-9397-08002B2CF9AE}" pid="15" name="BExAnalyzer_OldName">
    <vt:lpwstr>RIIO-GD1 C_O RRP Wales and West v1 1.xlsx</vt:lpwstr>
  </property>
  <property fmtid="{D5CDD505-2E9C-101B-9397-08002B2CF9AE}" pid="16" name="docIndexRef">
    <vt:lpwstr>ce89e90e-cc02-4ec8-96d8-2a705881200b</vt:lpwstr>
  </property>
  <property fmtid="{D5CDD505-2E9C-101B-9397-08002B2CF9AE}" pid="17" name="bjSaver">
    <vt:lpwstr>QR/EJJOcy1YFtPVUjh7GTP9GSaUjpLQH</vt:lpwstr>
  </property>
  <property fmtid="{D5CDD505-2E9C-101B-9397-08002B2CF9AE}" pid="18" name="bjDocumentLabelXML-0">
    <vt:lpwstr>nternal/label"&gt;&lt;element uid="id_classification_nonbusiness" value="" /&gt;&lt;element uid="eaadb568-f939-47e9-ab90-f00bdd47735e" value="" /&gt;&lt;/sisl&gt;</vt:lpwstr>
  </property>
  <property fmtid="{D5CDD505-2E9C-101B-9397-08002B2CF9AE}" pid="19" name="::">
    <vt:lpwstr>-Main Document</vt:lpwstr>
  </property>
  <property fmtid="{D5CDD505-2E9C-101B-9397-08002B2CF9AE}" pid="20" name="DLCPolicyLabelValue">
    <vt:lpwstr>Version : 0.1</vt:lpwstr>
  </property>
  <property fmtid="{D5CDD505-2E9C-101B-9397-08002B2CF9AE}" pid="21" name="BJSCdd9eba61-d6b9-469b_x">
    <vt:lpwstr>Internal Only</vt:lpwstr>
  </property>
  <property fmtid="{D5CDD505-2E9C-101B-9397-08002B2CF9AE}" pid="22" name="DLCPolicyLabelClientValue">
    <vt:lpwstr>Version : {_UIVersionString}</vt:lpwstr>
  </property>
  <property fmtid="{D5CDD505-2E9C-101B-9397-08002B2CF9AE}" pid="23" name="Applicable Duration">
    <vt:lpwstr>-</vt:lpwstr>
  </property>
  <property fmtid="{D5CDD505-2E9C-101B-9397-08002B2CF9AE}" pid="24" name="bjDocumentLabelXML">
    <vt:lpwstr>&lt;?xml version="1.0" encoding="us-ascii"?&gt;&lt;sisl xmlns:xsi="http://www.w3.org/2001/XMLSchema-instance" xmlns:xsd="http://www.w3.org/2001/XMLSchema" sislVersion="0" policy="973096ae-7329-4b3b-9368-47aeba6959e1" xmlns="http://www.boldonjames.com/2008/01/sie/i</vt:lpwstr>
  </property>
  <property fmtid="{D5CDD505-2E9C-101B-9397-08002B2CF9AE}" pid="25" name="bjDocumentSecurityLabel">
    <vt:lpwstr>OFFICIAL Internal Only</vt:lpwstr>
  </property>
</Properties>
</file>