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fletcher\Desktop\"/>
    </mc:Choice>
  </mc:AlternateContent>
  <bookViews>
    <workbookView xWindow="0" yWindow="0" windowWidth="20490" windowHeight="7695"/>
  </bookViews>
  <sheets>
    <sheet name="2.2 Totex costs summary" sheetId="2" r:id="rId1"/>
    <sheet name="2.3 Workload summary" sheetId="3" r:id="rId2"/>
    <sheet name="2.4 Safety" sheetId="4" r:id="rId3"/>
    <sheet name="2.5 Reliability" sheetId="5" r:id="rId4"/>
    <sheet name="2.6 Environmental" sheetId="6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______hom1" hidden="1">{#N/A,#N/A,FALSE,"Assessment";#N/A,#N/A,FALSE,"Staffing";#N/A,#N/A,FALSE,"Hires";#N/A,#N/A,FALSE,"Assumptions"}</definedName>
    <definedName name="________k1" hidden="1">{#N/A,#N/A,FALSE,"Assessment";#N/A,#N/A,FALSE,"Staffing";#N/A,#N/A,FALSE,"Hires";#N/A,#N/A,FALSE,"Assumptions"}</definedName>
    <definedName name="________kk1" hidden="1">{#N/A,#N/A,FALSE,"Assessment";#N/A,#N/A,FALSE,"Staffing";#N/A,#N/A,FALSE,"Hires";#N/A,#N/A,FALSE,"Assumptions"}</definedName>
    <definedName name="________KKK1" hidden="1">{#N/A,#N/A,FALSE,"Assessment";#N/A,#N/A,FALSE,"Staffing";#N/A,#N/A,FALSE,"Hires";#N/A,#N/A,FALSE,"Assumptions"}</definedName>
    <definedName name="________w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6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9" hidden="1">{"holdco",#N/A,FALSE,"Summary Financials";"holdco",#N/A,FALSE,"Summary Financials"}</definedName>
    <definedName name="________wrn1" hidden="1">{"holdco",#N/A,FALSE,"Summary Financials";"holdco",#N/A,FALSE,"Summary Financials"}</definedName>
    <definedName name="________wrn2" hidden="1">{"holdco",#N/A,FALSE,"Summary Financials";"holdco",#N/A,FALSE,"Summary Financials"}</definedName>
    <definedName name="________wrn3" hidden="1">{"holdco",#N/A,FALSE,"Summary Financials";"holdco",#N/A,FALSE,"Summary Financials"}</definedName>
    <definedName name="________wrn7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__wrn8" hidden="1">{"holdco",#N/A,FALSE,"Summary Financials";"holdco",#N/A,FALSE,"Summary Financials"}</definedName>
    <definedName name="_______bb2" hidden="1">{#N/A,#N/A,FALSE,"PRJCTED MNTHLY QTY's"}</definedName>
    <definedName name="_______Lee5" hidden="1">{#VALUE!,#N/A,FALSE,0}</definedName>
    <definedName name="______hom1" hidden="1">{#N/A,#N/A,FALSE,"Assessment";#N/A,#N/A,FALSE,"Staffing";#N/A,#N/A,FALSE,"Hires";#N/A,#N/A,FALSE,"Assumptions"}</definedName>
    <definedName name="______k1" hidden="1">{#N/A,#N/A,FALSE,"Assessment";#N/A,#N/A,FALSE,"Staffing";#N/A,#N/A,FALSE,"Hires";#N/A,#N/A,FALSE,"Assumptions"}</definedName>
    <definedName name="______kk1" hidden="1">{#N/A,#N/A,FALSE,"Assessment";#N/A,#N/A,FALSE,"Staffing";#N/A,#N/A,FALSE,"Hires";#N/A,#N/A,FALSE,"Assumptions"}</definedName>
    <definedName name="______KKK1" hidden="1">{#N/A,#N/A,FALSE,"Assessment";#N/A,#N/A,FALSE,"Staffing";#N/A,#N/A,FALSE,"Hires";#N/A,#N/A,FALSE,"Assumptions"}</definedName>
    <definedName name="______w2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6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9" hidden="1">{"holdco",#N/A,FALSE,"Summary Financials";"holdco",#N/A,FALSE,"Summary Financials"}</definedName>
    <definedName name="______wrn1" hidden="1">{"holdco",#N/A,FALSE,"Summary Financials";"holdco",#N/A,FALSE,"Summary Financials"}</definedName>
    <definedName name="______wrn2" hidden="1">{"holdco",#N/A,FALSE,"Summary Financials";"holdco",#N/A,FALSE,"Summary Financials"}</definedName>
    <definedName name="______wrn3" hidden="1">{"holdco",#N/A,FALSE,"Summary Financials";"holdco",#N/A,FALSE,"Summary Financials"}</definedName>
    <definedName name="______wrn7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_wrn8" hidden="1">{"holdco",#N/A,FALSE,"Summary Financials";"holdco",#N/A,FALSE,"Summary Financials"}</definedName>
    <definedName name="_____KKK1" hidden="1">{#N/A,#N/A,FALSE,"Assessment";#N/A,#N/A,FALSE,"Staffing";#N/A,#N/A,FALSE,"Hires";#N/A,#N/A,FALSE,"Assumptions"}</definedName>
    <definedName name="_____wrn1" hidden="1">{"holdco",#N/A,FALSE,"Summary Financials";"holdco",#N/A,FALSE,"Summary Financials"}</definedName>
    <definedName name="_____wrn2" hidden="1">{"holdco",#N/A,FALSE,"Summary Financials";"holdco",#N/A,FALSE,"Summary Financials"}</definedName>
    <definedName name="_____wrn3" hidden="1">{"holdco",#N/A,FALSE,"Summary Financials";"holdco",#N/A,FALSE,"Summary Financials"}</definedName>
    <definedName name="_____wrn7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___wrn8" hidden="1">{"holdco",#N/A,FALSE,"Summary Financials";"holdco",#N/A,FALSE,"Summary Financials"}</definedName>
    <definedName name="__123Graph_B" hidden="1">'[1]Universal data'!#REF!</definedName>
    <definedName name="__123Graph_C" hidden="1">'[1]Universal data'!#REF!</definedName>
    <definedName name="__123Graph_D" hidden="1">'[1]Universal data'!#REF!</definedName>
    <definedName name="__123Graph_X" hidden="1">'[1]Universal data'!#REF!</definedName>
    <definedName name="__FDS_HYPERLINK_TOGGLE_STATE__" hidden="1">"ON"</definedName>
    <definedName name="__hom1" hidden="1">{#N/A,#N/A,FALSE,"Assessment";#N/A,#N/A,FALSE,"Staffing";#N/A,#N/A,FALSE,"Hires";#N/A,#N/A,FALSE,"Assumptions"}</definedName>
    <definedName name="__IntlFixup" hidden="1">TRUE</definedName>
    <definedName name="__kk1" hidden="1">{#N/A,#N/A,FALSE,"Assessment";#N/A,#N/A,FALSE,"Staffing";#N/A,#N/A,FALSE,"Hires";#N/A,#N/A,FALSE,"Assumptions"}</definedName>
    <definedName name="__KKK1" hidden="1">{#N/A,#N/A,FALSE,"Assessment";#N/A,#N/A,FALSE,"Staffing";#N/A,#N/A,FALSE,"Hires";#N/A,#N/A,FALSE,"Assumptions"}</definedName>
    <definedName name="__wrn1" hidden="1">{"holdco",#N/A,FALSE,"Summary Financials";"holdco",#N/A,FALSE,"Summary Financials"}</definedName>
    <definedName name="__wrn2" hidden="1">{"holdco",#N/A,FALSE,"Summary Financials";"holdco",#N/A,FALSE,"Summary Financials"}</definedName>
    <definedName name="__wrn3" hidden="1">{"holdco",#N/A,FALSE,"Summary Financials";"holdco",#N/A,FALSE,"Summary Financials"}</definedName>
    <definedName name="__wrn7" hidden="1">{"Model Summary",#N/A,FALSE,"Print Chart";"Holdco",#N/A,FALSE,"Print Chart";"Genco",#N/A,FALSE,"Print Chart";"Servco",#N/A,FALSE,"Print Chart";"Genco_Detail",#N/A,FALSE,"Summary Financials";"Servco_Detail",#N/A,FALSE,"Summary Financials"}</definedName>
    <definedName name="__wrn8" hidden="1">{"holdco",#N/A,FALSE,"Summary Financials";"holdco",#N/A,FALSE,"Summary Financials"}</definedName>
    <definedName name="_139__123Graph_LBL_DCHART_3" hidden="1">[2]Graphs!$D$59:$D$59</definedName>
    <definedName name="_142__123Graph_LBL_FCHART_1" hidden="1">[2]Graphs!$G$59:$G$59</definedName>
    <definedName name="_143__123Graph_LBL_FCHART_3" hidden="1">[2]Graphs!$G$59:$G$59</definedName>
    <definedName name="_33__123Graph_LBL_ECHART_3" hidden="1">[2]Graphs!$F$59:$F$59</definedName>
    <definedName name="_34__123Graph_LBL_FCHART_1" hidden="1">[2]Graphs!$G$59:$G$59</definedName>
    <definedName name="_35__123Graph_LBL_FCHART_3" hidden="1">[2]Graphs!$G$59:$G$59</definedName>
    <definedName name="_49__123Graph_LBL_FCHART_1" hidden="1">[2]Graphs!$G$59:$G$59</definedName>
    <definedName name="_AtRisk_SimSetting_AutomaticallyGenerateReports" hidden="1">FALSE</definedName>
    <definedName name="_AtRisk_SimSetting_AutomaticResultsDisplayMode" hidden="1">3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Fill" hidden="1">#REF!</definedName>
    <definedName name="_Key1" hidden="1">#REF!</definedName>
    <definedName name="_Key2" hidden="1">#REF!</definedName>
    <definedName name="_Order1" hidden="1">255</definedName>
    <definedName name="_Order2" hidden="1">0</definedName>
    <definedName name="_Sort" hidden="1">#REF!</definedName>
    <definedName name="a" hidden="1">#REF!</definedName>
    <definedName name="AAA_duser" hidden="1">"OFF"</definedName>
    <definedName name="AAB_GSPPG" hidden="1">"AAB_Goldman Sachs PPG Chart Utilities 1.0g"</definedName>
    <definedName name="AccessDatabase" hidden="1">"C:\DATA\KEVIN\MODELS\Model 0218.mdb"</definedName>
    <definedName name="ACwvu.CapersView." hidden="1">[3]Sheet1!#REF!</definedName>
    <definedName name="ACwvu.Japan_Capers_Ed_Pub." hidden="1">#REF!</definedName>
    <definedName name="ACwvu.KJP_CC." hidden="1">#REF!</definedName>
    <definedName name="Baseline_Risk">#REF!</definedName>
    <definedName name="BExEZ4HBCC06708765M8A06KCR7P" hidden="1">#N/A</definedName>
    <definedName name="BLPH1" hidden="1">[4]Sheet2!#REF!</definedName>
    <definedName name="BLPH10" hidden="1">#REF!</definedName>
    <definedName name="BLPH100" hidden="1">#REF!</definedName>
    <definedName name="BLPH101" hidden="1">#REF!</definedName>
    <definedName name="BLPH102" hidden="1">#REF!</definedName>
    <definedName name="BLPH103" hidden="1">#REF!</definedName>
    <definedName name="BLPH104" hidden="1">#REF!</definedName>
    <definedName name="BLPH105" hidden="1">#REF!</definedName>
    <definedName name="BLPH106" hidden="1">#REF!</definedName>
    <definedName name="BLPH107" hidden="1">#REF!</definedName>
    <definedName name="BLPH108" hidden="1">#REF!</definedName>
    <definedName name="BLPH109" hidden="1">#REF!</definedName>
    <definedName name="BLPH11" hidden="1">#REF!</definedName>
    <definedName name="BLPH110" hidden="1">#REF!</definedName>
    <definedName name="BLPH111" hidden="1">#REF!</definedName>
    <definedName name="BLPH112" hidden="1">#REF!</definedName>
    <definedName name="BLPH113" hidden="1">#REF!</definedName>
    <definedName name="BLPH114" hidden="1">#REF!</definedName>
    <definedName name="BLPH115" hidden="1">#REF!</definedName>
    <definedName name="BLPH116" hidden="1">#REF!</definedName>
    <definedName name="BLPH117" hidden="1">#REF!</definedName>
    <definedName name="BLPH118" hidden="1">#REF!</definedName>
    <definedName name="BLPH119" hidden="1">#REF!</definedName>
    <definedName name="BLPH12" hidden="1">#REF!</definedName>
    <definedName name="BLPH120" hidden="1">#REF!</definedName>
    <definedName name="BLPH121" hidden="1">#REF!</definedName>
    <definedName name="BLPH122" hidden="1">#REF!</definedName>
    <definedName name="BLPH123" hidden="1">#REF!</definedName>
    <definedName name="BLPH124" hidden="1">#REF!</definedName>
    <definedName name="BLPH125" hidden="1">#REF!</definedName>
    <definedName name="BLPH126" hidden="1">#REF!</definedName>
    <definedName name="BLPH127" hidden="1">#REF!</definedName>
    <definedName name="BLPH128" hidden="1">#REF!</definedName>
    <definedName name="BLPH129" hidden="1">#REF!</definedName>
    <definedName name="BLPH13" hidden="1">#REF!</definedName>
    <definedName name="BLPH130" hidden="1">#REF!</definedName>
    <definedName name="BLPH131" hidden="1">#REF!</definedName>
    <definedName name="BLPH132" hidden="1">#REF!</definedName>
    <definedName name="BLPH133" hidden="1">#REF!</definedName>
    <definedName name="BLPH134" hidden="1">#REF!</definedName>
    <definedName name="BLPH135" hidden="1">#REF!</definedName>
    <definedName name="BLPH136" hidden="1">#REF!</definedName>
    <definedName name="BLPH137" hidden="1">#REF!</definedName>
    <definedName name="BLPH138" hidden="1">#REF!</definedName>
    <definedName name="BLPH139" hidden="1">#REF!</definedName>
    <definedName name="BLPH14" hidden="1">#REF!</definedName>
    <definedName name="BLPH140" hidden="1">#REF!</definedName>
    <definedName name="BLPH141" hidden="1">#REF!</definedName>
    <definedName name="BLPH142" hidden="1">#REF!</definedName>
    <definedName name="BLPH143" hidden="1">#REF!</definedName>
    <definedName name="BLPH144" hidden="1">#REF!</definedName>
    <definedName name="BLPH145" hidden="1">#REF!</definedName>
    <definedName name="BLPH146" hidden="1">#REF!</definedName>
    <definedName name="BLPH147" hidden="1">#REF!</definedName>
    <definedName name="BLPH148" hidden="1">#REF!</definedName>
    <definedName name="BLPH149" hidden="1">#REF!</definedName>
    <definedName name="BLPH15" hidden="1">#REF!</definedName>
    <definedName name="BLPH150" hidden="1">#REF!</definedName>
    <definedName name="BLPH151" hidden="1">#REF!</definedName>
    <definedName name="BLPH152" hidden="1">#REF!</definedName>
    <definedName name="BLPH153" hidden="1">#REF!</definedName>
    <definedName name="BLPH154" hidden="1">#REF!</definedName>
    <definedName name="BLPH155" hidden="1">#REF!</definedName>
    <definedName name="BLPH156" hidden="1">#REF!</definedName>
    <definedName name="BLPH157" hidden="1">#REF!</definedName>
    <definedName name="BLPH158" hidden="1">#REF!</definedName>
    <definedName name="BLPH159" hidden="1">#REF!</definedName>
    <definedName name="BLPH16" hidden="1">#REF!</definedName>
    <definedName name="BLPH160" hidden="1">#REF!</definedName>
    <definedName name="BLPH161" hidden="1">#REF!</definedName>
    <definedName name="BLPH162" hidden="1">#REF!</definedName>
    <definedName name="BLPH163" hidden="1">#REF!</definedName>
    <definedName name="BLPH164" hidden="1">#REF!</definedName>
    <definedName name="BLPH165" hidden="1">#REF!</definedName>
    <definedName name="BLPH166" hidden="1">#REF!</definedName>
    <definedName name="BLPH167" hidden="1">#REF!</definedName>
    <definedName name="BLPH168" hidden="1">#REF!</definedName>
    <definedName name="BLPH169" hidden="1">#REF!</definedName>
    <definedName name="BLPH17" hidden="1">#REF!</definedName>
    <definedName name="BLPH170" hidden="1">#REF!</definedName>
    <definedName name="BLPH171" hidden="1">#REF!</definedName>
    <definedName name="BLPH172" hidden="1">#REF!</definedName>
    <definedName name="BLPH173" hidden="1">#REF!</definedName>
    <definedName name="BLPH174" hidden="1">#REF!</definedName>
    <definedName name="BLPH175" hidden="1">#REF!</definedName>
    <definedName name="BLPH176" hidden="1">#REF!</definedName>
    <definedName name="BLPH177" hidden="1">#REF!</definedName>
    <definedName name="BLPH178" hidden="1">#REF!</definedName>
    <definedName name="BLPH179" hidden="1">#REF!</definedName>
    <definedName name="BLPH18" hidden="1">#REF!</definedName>
    <definedName name="BLPH180" hidden="1">#REF!</definedName>
    <definedName name="BLPH181" hidden="1">#REF!</definedName>
    <definedName name="BLPH182" hidden="1">#REF!</definedName>
    <definedName name="BLPH183" hidden="1">#REF!</definedName>
    <definedName name="BLPH184" hidden="1">#REF!</definedName>
    <definedName name="BLPH185" hidden="1">#REF!</definedName>
    <definedName name="BLPH186" hidden="1">#REF!</definedName>
    <definedName name="BLPH187" hidden="1">#REF!</definedName>
    <definedName name="BLPH188" hidden="1">#REF!</definedName>
    <definedName name="BLPH189" hidden="1">#REF!</definedName>
    <definedName name="BLPH19" hidden="1">#REF!</definedName>
    <definedName name="BLPH190" hidden="1">#REF!</definedName>
    <definedName name="BLPH191" hidden="1">#REF!</definedName>
    <definedName name="BLPH192" hidden="1">#REF!</definedName>
    <definedName name="BLPH193" hidden="1">#REF!</definedName>
    <definedName name="BLPH194" hidden="1">#REF!</definedName>
    <definedName name="BLPH195" hidden="1">#REF!</definedName>
    <definedName name="BLPH196" hidden="1">#REF!</definedName>
    <definedName name="BLPH197" hidden="1">#REF!</definedName>
    <definedName name="BLPH198" hidden="1">#REF!</definedName>
    <definedName name="BLPH199" hidden="1">#REF!</definedName>
    <definedName name="BLPH2" hidden="1">[4]Sheet2!#REF!</definedName>
    <definedName name="BLPH20" hidden="1">#REF!</definedName>
    <definedName name="BLPH200" hidden="1">#REF!</definedName>
    <definedName name="BLPH201" hidden="1">#REF!</definedName>
    <definedName name="BLPH202" hidden="1">#REF!</definedName>
    <definedName name="BLPH203" hidden="1">#REF!</definedName>
    <definedName name="BLPH204" hidden="1">#REF!</definedName>
    <definedName name="BLPH205" hidden="1">#REF!</definedName>
    <definedName name="BLPH206" hidden="1">#REF!</definedName>
    <definedName name="BLPH207" hidden="1">#REF!</definedName>
    <definedName name="BLPH208" hidden="1">#REF!</definedName>
    <definedName name="BLPH209" hidden="1">#REF!</definedName>
    <definedName name="BLPH21" hidden="1">'[5]Risk-Free Rate'!$AQ$15</definedName>
    <definedName name="BLPH210" hidden="1">#REF!</definedName>
    <definedName name="BLPH211" hidden="1">#REF!</definedName>
    <definedName name="BLPH212" hidden="1">#REF!</definedName>
    <definedName name="BLPH213" hidden="1">#REF!</definedName>
    <definedName name="BLPH214" hidden="1">#REF!</definedName>
    <definedName name="BLPH215" hidden="1">#REF!</definedName>
    <definedName name="BLPH216" hidden="1">#REF!</definedName>
    <definedName name="BLPH217" hidden="1">#REF!</definedName>
    <definedName name="BLPH218" hidden="1">#REF!</definedName>
    <definedName name="BLPH219" hidden="1">#REF!</definedName>
    <definedName name="BLPH22" hidden="1">'[5]Risk-Free Rate'!$AN$15</definedName>
    <definedName name="BLPH220" hidden="1">#REF!</definedName>
    <definedName name="BLPH221" hidden="1">#REF!</definedName>
    <definedName name="BLPH222" hidden="1">#REF!</definedName>
    <definedName name="BLPH223" hidden="1">#REF!</definedName>
    <definedName name="BLPH224" hidden="1">#REF!</definedName>
    <definedName name="BLPH225" hidden="1">#REF!</definedName>
    <definedName name="BLPH226" hidden="1">#REF!</definedName>
    <definedName name="BLPH227" hidden="1">#REF!</definedName>
    <definedName name="BLPH228" hidden="1">#REF!</definedName>
    <definedName name="BLPH229" hidden="1">#REF!</definedName>
    <definedName name="BLPH23" hidden="1">'[5]Risk-Free Rate'!$AK$15</definedName>
    <definedName name="BLPH230" hidden="1">#REF!</definedName>
    <definedName name="BLPH231" hidden="1">#REF!</definedName>
    <definedName name="BLPH232" hidden="1">#REF!</definedName>
    <definedName name="BLPH233" hidden="1">#REF!</definedName>
    <definedName name="BLPH234" hidden="1">#REF!</definedName>
    <definedName name="BLPH235" hidden="1">#REF!</definedName>
    <definedName name="BLPH236" hidden="1">#REF!</definedName>
    <definedName name="BLPH237" hidden="1">#REF!</definedName>
    <definedName name="BLPH238" hidden="1">#REF!</definedName>
    <definedName name="BLPH239" hidden="1">#REF!</definedName>
    <definedName name="BLPH24" hidden="1">'[5]Risk-Free Rate'!$AH$15</definedName>
    <definedName name="BLPH240" hidden="1">#REF!</definedName>
    <definedName name="BLPH241" hidden="1">#REF!</definedName>
    <definedName name="BLPH242" hidden="1">#REF!</definedName>
    <definedName name="BLPH243" hidden="1">#REF!</definedName>
    <definedName name="BLPH244" hidden="1">#REF!</definedName>
    <definedName name="BLPH245" hidden="1">#REF!</definedName>
    <definedName name="BLPH246" hidden="1">#REF!</definedName>
    <definedName name="BLPH247" hidden="1">#REF!</definedName>
    <definedName name="BLPH248" hidden="1">#REF!</definedName>
    <definedName name="BLPH249" hidden="1">#REF!</definedName>
    <definedName name="BLPH25" hidden="1">'[5]Risk-Free Rate'!$AE$15</definedName>
    <definedName name="BLPH250" hidden="1">#REF!</definedName>
    <definedName name="BLPH251" hidden="1">#REF!</definedName>
    <definedName name="BLPH252" hidden="1">#REF!</definedName>
    <definedName name="BLPH253" hidden="1">#REF!</definedName>
    <definedName name="BLPH254" hidden="1">#REF!</definedName>
    <definedName name="BLPH255" hidden="1">#REF!</definedName>
    <definedName name="BLPH256" hidden="1">#REF!</definedName>
    <definedName name="BLPH257" hidden="1">#REF!</definedName>
    <definedName name="BLPH258" hidden="1">#REF!</definedName>
    <definedName name="BLPH259" hidden="1">#REF!</definedName>
    <definedName name="BLPH26" hidden="1">'[5]Risk-Free Rate'!$AB$15</definedName>
    <definedName name="BLPH260" hidden="1">#REF!</definedName>
    <definedName name="BLPH261" hidden="1">#REF!</definedName>
    <definedName name="BLPH262" hidden="1">#REF!</definedName>
    <definedName name="BLPH263" hidden="1">#REF!</definedName>
    <definedName name="BLPH264" hidden="1">#REF!</definedName>
    <definedName name="BLPH265" hidden="1">#REF!</definedName>
    <definedName name="BLPH266" hidden="1">#REF!</definedName>
    <definedName name="BLPH267" hidden="1">#REF!</definedName>
    <definedName name="BLPH268" hidden="1">#REF!</definedName>
    <definedName name="BLPH269" hidden="1">#REF!</definedName>
    <definedName name="BLPH27" hidden="1">'[5]Risk-Free Rate'!$Y$15</definedName>
    <definedName name="BLPH270" hidden="1">#REF!</definedName>
    <definedName name="BLPH271" hidden="1">#REF!</definedName>
    <definedName name="BLPH272" hidden="1">#REF!</definedName>
    <definedName name="BLPH273" hidden="1">#REF!</definedName>
    <definedName name="BLPH274" hidden="1">#REF!</definedName>
    <definedName name="BLPH275" hidden="1">#REF!</definedName>
    <definedName name="BLPH276" hidden="1">#REF!</definedName>
    <definedName name="BLPH277" hidden="1">#REF!</definedName>
    <definedName name="BLPH278" hidden="1">#REF!</definedName>
    <definedName name="BLPH279" hidden="1">#REF!</definedName>
    <definedName name="BLPH28" hidden="1">'[5]Risk-Free Rate'!$V$15</definedName>
    <definedName name="BLPH280" hidden="1">#REF!</definedName>
    <definedName name="BLPH281" hidden="1">#REF!</definedName>
    <definedName name="BLPH282" hidden="1">#REF!</definedName>
    <definedName name="BLPH283" hidden="1">#REF!</definedName>
    <definedName name="BLPH284" hidden="1">#REF!</definedName>
    <definedName name="BLPH285" hidden="1">#REF!</definedName>
    <definedName name="BLPH286" hidden="1">#REF!</definedName>
    <definedName name="BLPH287" hidden="1">#REF!</definedName>
    <definedName name="BLPH288" hidden="1">#REF!</definedName>
    <definedName name="BLPH289" hidden="1">#REF!</definedName>
    <definedName name="BLPH29" hidden="1">'[5]Risk-Free Rate'!$S$15</definedName>
    <definedName name="BLPH290" hidden="1">#REF!</definedName>
    <definedName name="BLPH291" hidden="1">#REF!</definedName>
    <definedName name="BLPH292" hidden="1">#REF!</definedName>
    <definedName name="BLPH293" hidden="1">#REF!</definedName>
    <definedName name="BLPH294" hidden="1">#REF!</definedName>
    <definedName name="BLPH295" hidden="1">#REF!</definedName>
    <definedName name="BLPH296" hidden="1">#REF!</definedName>
    <definedName name="BLPH297" hidden="1">#REF!</definedName>
    <definedName name="BLPH298" hidden="1">#REF!</definedName>
    <definedName name="BLPH299" hidden="1">#REF!</definedName>
    <definedName name="BLPH3" hidden="1">#REF!</definedName>
    <definedName name="BLPH30" hidden="1">'[5]Risk-Free Rate'!$P$15</definedName>
    <definedName name="BLPH300" hidden="1">#REF!</definedName>
    <definedName name="BLPH301" hidden="1">#REF!</definedName>
    <definedName name="BLPH302" hidden="1">#REF!</definedName>
    <definedName name="BLPH303" hidden="1">#REF!</definedName>
    <definedName name="BLPH304" hidden="1">#REF!</definedName>
    <definedName name="BLPH305" hidden="1">#REF!</definedName>
    <definedName name="BLPH306" hidden="1">#REF!</definedName>
    <definedName name="BLPH307" hidden="1">#REF!</definedName>
    <definedName name="BLPH308" hidden="1">#REF!</definedName>
    <definedName name="BLPH309" hidden="1">#REF!</definedName>
    <definedName name="BLPH31" hidden="1">'[5]Risk-Free Rate'!$M$15</definedName>
    <definedName name="BLPH310" hidden="1">#REF!</definedName>
    <definedName name="BLPH311" hidden="1">#REF!</definedName>
    <definedName name="BLPH312" hidden="1">#REF!</definedName>
    <definedName name="BLPH313" hidden="1">#REF!</definedName>
    <definedName name="BLPH314" hidden="1">#REF!</definedName>
    <definedName name="BLPH315" hidden="1">#REF!</definedName>
    <definedName name="BLPH316" hidden="1">#REF!</definedName>
    <definedName name="BLPH317" hidden="1">#REF!</definedName>
    <definedName name="BLPH318" hidden="1">#REF!</definedName>
    <definedName name="BLPH319" hidden="1">#REF!</definedName>
    <definedName name="BLPH32" hidden="1">'[5]Risk-Free Rate'!$J$15</definedName>
    <definedName name="BLPH320" hidden="1">#REF!</definedName>
    <definedName name="BLPH321" hidden="1">#REF!</definedName>
    <definedName name="BLPH322" hidden="1">#REF!</definedName>
    <definedName name="BLPH323" hidden="1">#REF!</definedName>
    <definedName name="BLPH324" hidden="1">#REF!</definedName>
    <definedName name="BLPH325" hidden="1">#REF!</definedName>
    <definedName name="BLPH326" hidden="1">#REF!</definedName>
    <definedName name="BLPH327" hidden="1">#REF!</definedName>
    <definedName name="BLPH328" hidden="1">#REF!</definedName>
    <definedName name="BLPH329" hidden="1">#REF!</definedName>
    <definedName name="BLPH33" hidden="1">'[5]Risk-Free Rate'!$G$15</definedName>
    <definedName name="BLPH330" hidden="1">#REF!</definedName>
    <definedName name="BLPH331" hidden="1">#REF!</definedName>
    <definedName name="BLPH332" hidden="1">#REF!</definedName>
    <definedName name="BLPH333" hidden="1">#REF!</definedName>
    <definedName name="BLPH334" hidden="1">#REF!</definedName>
    <definedName name="BLPH335" hidden="1">#REF!</definedName>
    <definedName name="BLPH336" hidden="1">#REF!</definedName>
    <definedName name="BLPH337" hidden="1">#REF!</definedName>
    <definedName name="BLPH338" hidden="1">#REF!</definedName>
    <definedName name="BLPH339" hidden="1">#REF!</definedName>
    <definedName name="BLPH34" hidden="1">'[5]Risk-Free Rate'!$D$15</definedName>
    <definedName name="BLPH340" hidden="1">#REF!</definedName>
    <definedName name="BLPH341" hidden="1">#REF!</definedName>
    <definedName name="BLPH342" hidden="1">#REF!</definedName>
    <definedName name="BLPH343" hidden="1">#REF!</definedName>
    <definedName name="BLPH344" hidden="1">#REF!</definedName>
    <definedName name="BLPH345" hidden="1">#REF!</definedName>
    <definedName name="BLPH346" hidden="1">#REF!</definedName>
    <definedName name="BLPH347" hidden="1">#REF!</definedName>
    <definedName name="BLPH348" hidden="1">#REF!</definedName>
    <definedName name="BLPH349" hidden="1">#REF!</definedName>
    <definedName name="BLPH35" hidden="1">'[5]Risk-Free Rate'!$A$15</definedName>
    <definedName name="BLPH350" hidden="1">#REF!</definedName>
    <definedName name="BLPH351" hidden="1">#REF!</definedName>
    <definedName name="BLPH352" hidden="1">#REF!</definedName>
    <definedName name="BLPH353" hidden="1">#REF!</definedName>
    <definedName name="BLPH354" hidden="1">#REF!</definedName>
    <definedName name="BLPH355" hidden="1">#REF!</definedName>
    <definedName name="BLPH356" hidden="1">#REF!</definedName>
    <definedName name="BLPH357" hidden="1">#REF!</definedName>
    <definedName name="BLPH358" hidden="1">#REF!</definedName>
    <definedName name="BLPH359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" hidden="1">[4]Sheet2!#REF!</definedName>
    <definedName name="BLPH50" hidden="1">#REF!</definedName>
    <definedName name="BLPH51" hidden="1">#REF!</definedName>
    <definedName name="BLPH52" hidden="1">#REF!</definedName>
    <definedName name="BLPH53" hidden="1">#REF!</definedName>
    <definedName name="BLPH54" hidden="1">#REF!</definedName>
    <definedName name="BLPH55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6" hidden="1">#REF!</definedName>
    <definedName name="BLPH67" hidden="1">#REF!</definedName>
    <definedName name="BLPH68" hidden="1">#REF!</definedName>
    <definedName name="BLPH69" hidden="1">#REF!</definedName>
    <definedName name="BLPH7" hidden="1">#REF!</definedName>
    <definedName name="BLPH70" hidden="1">#REF!</definedName>
    <definedName name="BLPH71" hidden="1">#REF!</definedName>
    <definedName name="BLPH72" hidden="1">#REF!</definedName>
    <definedName name="BLPH73" hidden="1">#REF!</definedName>
    <definedName name="BLPH74" hidden="1">#REF!</definedName>
    <definedName name="BLPH75" hidden="1">#REF!</definedName>
    <definedName name="BLPH76" hidden="1">#REF!</definedName>
    <definedName name="BLPH77" hidden="1">#REF!</definedName>
    <definedName name="BLPH78" hidden="1">#REF!</definedName>
    <definedName name="BLPH79" hidden="1">#REF!</definedName>
    <definedName name="BLPH8" hidden="1">#REF!</definedName>
    <definedName name="BLPH80" hidden="1">#REF!</definedName>
    <definedName name="BLPH81" hidden="1">#REF!</definedName>
    <definedName name="BLPH82" hidden="1">#REF!</definedName>
    <definedName name="BLPH83" hidden="1">#REF!</definedName>
    <definedName name="BLPH84" hidden="1">#REF!</definedName>
    <definedName name="BLPH85" hidden="1">#REF!</definedName>
    <definedName name="BLPH86" hidden="1">#REF!</definedName>
    <definedName name="BLPH87" hidden="1">#REF!</definedName>
    <definedName name="BLPH88" hidden="1">#REF!</definedName>
    <definedName name="BLPH89" hidden="1">#REF!</definedName>
    <definedName name="BLPH9" hidden="1">#REF!</definedName>
    <definedName name="BLPH90" hidden="1">#REF!</definedName>
    <definedName name="BLPH91" hidden="1">#REF!</definedName>
    <definedName name="BLPH92" hidden="1">#REF!</definedName>
    <definedName name="BLPH93" hidden="1">#REF!</definedName>
    <definedName name="BLPH94" hidden="1">#REF!</definedName>
    <definedName name="BLPH95" hidden="1">#REF!</definedName>
    <definedName name="BLPH96" hidden="1">#REF!</definedName>
    <definedName name="BLPH97" hidden="1">#REF!</definedName>
    <definedName name="BLPH98" hidden="1">#REF!</definedName>
    <definedName name="BLPH99" hidden="1">#REF!</definedName>
    <definedName name="Combine_Lookup">#REF!</definedName>
    <definedName name="Combine_Valid">'[6]5.8 Decommissioned Sum '!#REF!</definedName>
    <definedName name="Cwvu.CapersView." hidden="1">[3]Sheet1!#REF!</definedName>
    <definedName name="Cwvu.Japan_Capers_Ed_Pub." hidden="1">[3]Sheet1!#REF!</definedName>
    <definedName name="Dia_Valid">'[6]5.8 Decommissioned Sum '!#REF!</definedName>
    <definedName name="Dist_Valid">'[6]5.8 Decommissioned Sum '!#REF!</definedName>
    <definedName name="Driver_Valid">'[6]5.8 Decommissioned Sum '!#REF!</definedName>
    <definedName name="gwge" hidden="1">#REF!</definedName>
    <definedName name="HTML_CodePage" hidden="1">1252</definedName>
    <definedName name="HTML_Description" hidden="1">"DRAFT"</definedName>
    <definedName name="HTML_Email" hidden="1">"Patrick_Blattner@Studio.Disney.com"</definedName>
    <definedName name="HTML_Header" hidden="1">"EXISTING &amp; FUTURE PRODUCTS (CONFIDENTIAL)"</definedName>
    <definedName name="HTML_LastUpdate" hidden="1">"2/8/98"</definedName>
    <definedName name="HTML_LineAfter" hidden="1">FALSE</definedName>
    <definedName name="HTML_LineBefore" hidden="1">TRUE</definedName>
    <definedName name="HTML_Name" hidden="1">"Patrick Blattner"</definedName>
    <definedName name="HTML_OBDlg2" hidden="1">TRUE</definedName>
    <definedName name="HTML_OBDlg4" hidden="1">TRUE</definedName>
    <definedName name="HTML_OS" hidden="1">0</definedName>
    <definedName name="HTML_PathFile" hidden="1">"K:\ANIMATE\SECURE\Production\INTRANET\ANI.HTML.htm"</definedName>
    <definedName name="HTML_Title" hidden="1">"2D ANIMATION PRODUCTION TABLE"</definedName>
    <definedName name="ListOffset" hidden="1">1</definedName>
    <definedName name="Mat__Type_Array">'[6]5.8 Decommissioned Sum '!#REF!</definedName>
    <definedName name="Mat_Type_Row">#REF!</definedName>
    <definedName name="Mat_Valid">'[6]5.8 Decommissioned Sum '!#REF!</definedName>
    <definedName name="Pal_Workbook_GUID" hidden="1">"LJ9YVKRJVQ1A1KNUG7XIT5A9"</definedName>
    <definedName name="Pipe_Length">#REF!</definedName>
    <definedName name="_xlnm.Print_Area" localSheetId="0">'2.2 Totex costs summary'!$A$7:$J$44</definedName>
    <definedName name="_xlnm.Print_Area" localSheetId="2">'2.4 Safety'!$A$1:$AE$83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wvu.CapersView." hidden="1">#REF!</definedName>
    <definedName name="Rwvu.Japan_Capers_Ed_Pub." hidden="1">#REF!</definedName>
    <definedName name="Rwvu.KJP_CC." hidden="1">#REF!</definedName>
    <definedName name="SAPBEXhrIndnt" hidden="1">"Wide"</definedName>
    <definedName name="SAPBEXrevision" hidden="1">1</definedName>
    <definedName name="SAPBEXsysID" hidden="1">"BWP"</definedName>
    <definedName name="SAPBEXwbID" hidden="1">"3M0Y5JZ0K259IJHR15SO2N9QE"</definedName>
    <definedName name="SAPsysID" hidden="1">"708C5W7SBKP804JT78WJ0JNKI"</definedName>
    <definedName name="SAPwbID" hidden="1">"ARS"</definedName>
    <definedName name="select_GDN_name">'[7]2. Out of area networks'!$L$188:$L$195</definedName>
    <definedName name="Sum_Length">#REF!</definedName>
    <definedName name="Swvu.CapersView." hidden="1">[3]Sheet1!#REF!</definedName>
    <definedName name="Swvu.Japan_Capers_Ed_Pub." hidden="1">#REF!</definedName>
    <definedName name="Swvu.KJP_CC." hidden="1">#REF!</definedName>
    <definedName name="Tier_Lookup">'[6]5.8 Decommissioned Sum '!#REF!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t_Valid">'[6]5.8 Decommissioned Sum '!#REF!</definedName>
    <definedName name="Z_9A428CE1_B4D9_11D0_A8AA_0000C071AEE7_.wvu.Cols" hidden="1">[3]Sheet1!$A$1:$Q$65536,[3]Sheet1!$Y$1:$Z$65536</definedName>
    <definedName name="Z_9A428CE1_B4D9_11D0_A8AA_0000C071AEE7_.wvu.PrintArea" hidden="1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49" i="6" l="1"/>
  <c r="S49" i="6"/>
  <c r="AC49" i="6" s="1"/>
  <c r="P49" i="6"/>
  <c r="I49" i="6"/>
  <c r="H49" i="6"/>
  <c r="G49" i="6"/>
  <c r="F49" i="6"/>
  <c r="E49" i="6"/>
  <c r="D49" i="6"/>
  <c r="N49" i="6" s="1"/>
  <c r="X49" i="6" s="1"/>
  <c r="C49" i="6"/>
  <c r="B49" i="6"/>
  <c r="AB48" i="6"/>
  <c r="X48" i="6"/>
  <c r="S48" i="6"/>
  <c r="AC48" i="6" s="1"/>
  <c r="R48" i="6"/>
  <c r="Q48" i="6"/>
  <c r="AA48" i="6" s="1"/>
  <c r="P48" i="6"/>
  <c r="Z48" i="6" s="1"/>
  <c r="O48" i="6"/>
  <c r="Y48" i="6" s="1"/>
  <c r="N48" i="6"/>
  <c r="I40" i="6"/>
  <c r="V54" i="6" s="1"/>
  <c r="E40" i="6"/>
  <c r="D40" i="6"/>
  <c r="I39" i="6"/>
  <c r="L54" i="6" s="1"/>
  <c r="H39" i="6"/>
  <c r="R49" i="6" s="1"/>
  <c r="AB49" i="6" s="1"/>
  <c r="F39" i="6"/>
  <c r="F40" i="6" s="1"/>
  <c r="E39" i="6"/>
  <c r="O49" i="6" s="1"/>
  <c r="Y49" i="6" s="1"/>
  <c r="D39" i="6"/>
  <c r="B39" i="6"/>
  <c r="L49" i="6" s="1"/>
  <c r="V49" i="6" s="1"/>
  <c r="C38" i="6"/>
  <c r="M48" i="6" s="1"/>
  <c r="W48" i="6" s="1"/>
  <c r="B38" i="6"/>
  <c r="L48" i="6" s="1"/>
  <c r="V48" i="6" s="1"/>
  <c r="B37" i="6"/>
  <c r="G39" i="6" s="1"/>
  <c r="I24" i="6"/>
  <c r="S24" i="6" s="1"/>
  <c r="AC24" i="6" s="1"/>
  <c r="H24" i="6"/>
  <c r="G24" i="6"/>
  <c r="F24" i="6"/>
  <c r="E24" i="6"/>
  <c r="D24" i="6"/>
  <c r="C24" i="6"/>
  <c r="B24" i="6"/>
  <c r="AC23" i="6"/>
  <c r="Z23" i="6"/>
  <c r="W23" i="6"/>
  <c r="S23" i="6"/>
  <c r="R23" i="6"/>
  <c r="AB23" i="6" s="1"/>
  <c r="Q23" i="6"/>
  <c r="AA23" i="6" s="1"/>
  <c r="P23" i="6"/>
  <c r="O23" i="6"/>
  <c r="Y23" i="6" s="1"/>
  <c r="N23" i="6"/>
  <c r="X23" i="6" s="1"/>
  <c r="L23" i="6"/>
  <c r="V23" i="6" s="1"/>
  <c r="I14" i="6"/>
  <c r="L29" i="6" s="1"/>
  <c r="C14" i="6"/>
  <c r="M24" i="6" s="1"/>
  <c r="W24" i="6" s="1"/>
  <c r="C13" i="6"/>
  <c r="M23" i="6" s="1"/>
  <c r="B13" i="6"/>
  <c r="B12" i="6"/>
  <c r="A3" i="6"/>
  <c r="A2" i="6"/>
  <c r="A1" i="6"/>
  <c r="I126" i="5"/>
  <c r="H126" i="5"/>
  <c r="G126" i="5"/>
  <c r="F126" i="5"/>
  <c r="E126" i="5"/>
  <c r="D126" i="5"/>
  <c r="C126" i="5"/>
  <c r="C125" i="5"/>
  <c r="C124" i="5"/>
  <c r="C123" i="5"/>
  <c r="C122" i="5"/>
  <c r="C121" i="5"/>
  <c r="B114" i="5"/>
  <c r="C113" i="5"/>
  <c r="C114" i="5" s="1"/>
  <c r="AC104" i="5"/>
  <c r="Z104" i="5"/>
  <c r="T104" i="5"/>
  <c r="AE104" i="5" s="1"/>
  <c r="S104" i="5"/>
  <c r="AD104" i="5" s="1"/>
  <c r="R104" i="5"/>
  <c r="Q104" i="5"/>
  <c r="AB104" i="5" s="1"/>
  <c r="P104" i="5"/>
  <c r="AA104" i="5" s="1"/>
  <c r="O104" i="5"/>
  <c r="N104" i="5"/>
  <c r="Y104" i="5" s="1"/>
  <c r="M104" i="5"/>
  <c r="X104" i="5" s="1"/>
  <c r="J104" i="5"/>
  <c r="AA98" i="5"/>
  <c r="T98" i="5"/>
  <c r="AE98" i="5" s="1"/>
  <c r="S98" i="5"/>
  <c r="AD98" i="5" s="1"/>
  <c r="R98" i="5"/>
  <c r="AC98" i="5" s="1"/>
  <c r="Q98" i="5"/>
  <c r="AB98" i="5" s="1"/>
  <c r="P98" i="5"/>
  <c r="O98" i="5"/>
  <c r="Z98" i="5" s="1"/>
  <c r="N98" i="5"/>
  <c r="Y98" i="5" s="1"/>
  <c r="B91" i="5"/>
  <c r="M98" i="5" s="1"/>
  <c r="X98" i="5" s="1"/>
  <c r="AE81" i="5"/>
  <c r="AC81" i="5"/>
  <c r="AA81" i="5"/>
  <c r="T81" i="5"/>
  <c r="S81" i="5"/>
  <c r="AD81" i="5" s="1"/>
  <c r="R81" i="5"/>
  <c r="Q81" i="5"/>
  <c r="AB81" i="5" s="1"/>
  <c r="P81" i="5"/>
  <c r="O81" i="5"/>
  <c r="Z81" i="5" s="1"/>
  <c r="N81" i="5"/>
  <c r="Y81" i="5" s="1"/>
  <c r="J81" i="5"/>
  <c r="AD75" i="5"/>
  <c r="AB75" i="5"/>
  <c r="Z75" i="5"/>
  <c r="T75" i="5"/>
  <c r="AE75" i="5" s="1"/>
  <c r="S75" i="5"/>
  <c r="R75" i="5"/>
  <c r="AC75" i="5" s="1"/>
  <c r="Q75" i="5"/>
  <c r="P75" i="5"/>
  <c r="AA75" i="5" s="1"/>
  <c r="O75" i="5"/>
  <c r="N75" i="5"/>
  <c r="Y75" i="5" s="1"/>
  <c r="J75" i="5"/>
  <c r="B68" i="5"/>
  <c r="AD50" i="5"/>
  <c r="M50" i="5"/>
  <c r="X50" i="5" s="1"/>
  <c r="I50" i="5"/>
  <c r="H50" i="5"/>
  <c r="G50" i="5"/>
  <c r="F50" i="5"/>
  <c r="E50" i="5"/>
  <c r="P50" i="5" s="1"/>
  <c r="AA50" i="5" s="1"/>
  <c r="D50" i="5"/>
  <c r="C50" i="5"/>
  <c r="B50" i="5"/>
  <c r="J50" i="5" s="1"/>
  <c r="AC49" i="5"/>
  <c r="AB49" i="5"/>
  <c r="T49" i="5"/>
  <c r="AE49" i="5" s="1"/>
  <c r="S49" i="5"/>
  <c r="AD49" i="5" s="1"/>
  <c r="R49" i="5"/>
  <c r="Q49" i="5"/>
  <c r="P49" i="5"/>
  <c r="AA49" i="5" s="1"/>
  <c r="O49" i="5"/>
  <c r="Z49" i="5" s="1"/>
  <c r="J49" i="5"/>
  <c r="AE48" i="5"/>
  <c r="AB48" i="5"/>
  <c r="AA48" i="5"/>
  <c r="T48" i="5"/>
  <c r="S48" i="5"/>
  <c r="AD48" i="5" s="1"/>
  <c r="R48" i="5"/>
  <c r="AC48" i="5" s="1"/>
  <c r="Q48" i="5"/>
  <c r="P48" i="5"/>
  <c r="O48" i="5"/>
  <c r="Z48" i="5" s="1"/>
  <c r="M48" i="5"/>
  <c r="X48" i="5" s="1"/>
  <c r="J48" i="5"/>
  <c r="I41" i="5"/>
  <c r="H41" i="5"/>
  <c r="S50" i="5" s="1"/>
  <c r="G41" i="5"/>
  <c r="R50" i="5" s="1"/>
  <c r="AC50" i="5" s="1"/>
  <c r="F41" i="5"/>
  <c r="Q50" i="5" s="1"/>
  <c r="AB50" i="5" s="1"/>
  <c r="E41" i="5"/>
  <c r="D41" i="5"/>
  <c r="O50" i="5" s="1"/>
  <c r="Z50" i="5" s="1"/>
  <c r="B41" i="5"/>
  <c r="J40" i="5"/>
  <c r="C40" i="5"/>
  <c r="N49" i="5" s="1"/>
  <c r="Y49" i="5" s="1"/>
  <c r="B40" i="5"/>
  <c r="M49" i="5" s="1"/>
  <c r="X49" i="5" s="1"/>
  <c r="C39" i="5"/>
  <c r="B39" i="5"/>
  <c r="R25" i="5"/>
  <c r="AC25" i="5" s="1"/>
  <c r="I25" i="5"/>
  <c r="H25" i="5"/>
  <c r="G25" i="5"/>
  <c r="F25" i="5"/>
  <c r="E25" i="5"/>
  <c r="D25" i="5"/>
  <c r="C25" i="5"/>
  <c r="B25" i="5"/>
  <c r="J25" i="5" s="1"/>
  <c r="AD24" i="5"/>
  <c r="AA24" i="5"/>
  <c r="Z24" i="5"/>
  <c r="T24" i="5"/>
  <c r="AE24" i="5" s="1"/>
  <c r="S24" i="5"/>
  <c r="R24" i="5"/>
  <c r="AC24" i="5" s="1"/>
  <c r="Q24" i="5"/>
  <c r="AB24" i="5" s="1"/>
  <c r="P24" i="5"/>
  <c r="O24" i="5"/>
  <c r="N24" i="5"/>
  <c r="Y24" i="5" s="1"/>
  <c r="M24" i="5"/>
  <c r="X24" i="5" s="1"/>
  <c r="J24" i="5"/>
  <c r="AD23" i="5"/>
  <c r="AC23" i="5"/>
  <c r="AA23" i="5"/>
  <c r="Y23" i="5"/>
  <c r="T23" i="5"/>
  <c r="AE23" i="5" s="1"/>
  <c r="S23" i="5"/>
  <c r="R23" i="5"/>
  <c r="Q23" i="5"/>
  <c r="AB23" i="5" s="1"/>
  <c r="P23" i="5"/>
  <c r="O23" i="5"/>
  <c r="Z23" i="5" s="1"/>
  <c r="M23" i="5"/>
  <c r="X23" i="5" s="1"/>
  <c r="J23" i="5"/>
  <c r="U23" i="5" s="1"/>
  <c r="AF23" i="5" s="1"/>
  <c r="I16" i="5"/>
  <c r="H16" i="5"/>
  <c r="S25" i="5" s="1"/>
  <c r="AD25" i="5" s="1"/>
  <c r="G16" i="5"/>
  <c r="F16" i="5"/>
  <c r="Q25" i="5" s="1"/>
  <c r="AB25" i="5" s="1"/>
  <c r="E16" i="5"/>
  <c r="D16" i="5"/>
  <c r="O25" i="5" s="1"/>
  <c r="Z25" i="5" s="1"/>
  <c r="C16" i="5"/>
  <c r="N25" i="5" s="1"/>
  <c r="Y25" i="5" s="1"/>
  <c r="C15" i="5"/>
  <c r="B15" i="5"/>
  <c r="J14" i="5"/>
  <c r="M30" i="5" s="1"/>
  <c r="X30" i="5" s="1"/>
  <c r="C14" i="5"/>
  <c r="N23" i="5" s="1"/>
  <c r="B14" i="5"/>
  <c r="A3" i="5"/>
  <c r="A2" i="5"/>
  <c r="A1" i="5"/>
  <c r="B83" i="4"/>
  <c r="C82" i="4"/>
  <c r="C83" i="4" s="1"/>
  <c r="D83" i="4" s="1"/>
  <c r="E83" i="4" s="1"/>
  <c r="F83" i="4" s="1"/>
  <c r="G83" i="4" s="1"/>
  <c r="H83" i="4" s="1"/>
  <c r="I83" i="4" s="1"/>
  <c r="C76" i="4"/>
  <c r="C71" i="4"/>
  <c r="C70" i="4"/>
  <c r="C64" i="4"/>
  <c r="C63" i="4"/>
  <c r="C62" i="4"/>
  <c r="C59" i="4"/>
  <c r="C58" i="4"/>
  <c r="C57" i="4"/>
  <c r="C54" i="4"/>
  <c r="Q48" i="4"/>
  <c r="AC47" i="4"/>
  <c r="AB47" i="4"/>
  <c r="AA47" i="4"/>
  <c r="Z47" i="4"/>
  <c r="Y47" i="4"/>
  <c r="X47" i="4"/>
  <c r="W47" i="4"/>
  <c r="S47" i="4"/>
  <c r="R47" i="4"/>
  <c r="Q47" i="4"/>
  <c r="P47" i="4"/>
  <c r="O47" i="4"/>
  <c r="N47" i="4"/>
  <c r="M47" i="4"/>
  <c r="I40" i="4"/>
  <c r="S48" i="4" s="1"/>
  <c r="H40" i="4"/>
  <c r="R48" i="4" s="1"/>
  <c r="G40" i="4"/>
  <c r="F40" i="4"/>
  <c r="P48" i="4" s="1"/>
  <c r="E40" i="4"/>
  <c r="O48" i="4" s="1"/>
  <c r="D40" i="4"/>
  <c r="N48" i="4" s="1"/>
  <c r="C40" i="4"/>
  <c r="M48" i="4" s="1"/>
  <c r="C39" i="4"/>
  <c r="B39" i="4"/>
  <c r="V47" i="4" s="1"/>
  <c r="V30" i="4"/>
  <c r="B25" i="4"/>
  <c r="C25" i="4" s="1"/>
  <c r="D25" i="4" s="1"/>
  <c r="E25" i="4" s="1"/>
  <c r="F25" i="4" s="1"/>
  <c r="G25" i="4" s="1"/>
  <c r="H25" i="4" s="1"/>
  <c r="I25" i="4" s="1"/>
  <c r="I24" i="4"/>
  <c r="H24" i="4"/>
  <c r="G24" i="4"/>
  <c r="F24" i="4"/>
  <c r="E24" i="4"/>
  <c r="D24" i="4"/>
  <c r="C24" i="4"/>
  <c r="B24" i="4"/>
  <c r="AC23" i="4"/>
  <c r="AB23" i="4"/>
  <c r="AA23" i="4"/>
  <c r="Z23" i="4"/>
  <c r="Y23" i="4"/>
  <c r="X23" i="4"/>
  <c r="W23" i="4"/>
  <c r="V23" i="4"/>
  <c r="S23" i="4"/>
  <c r="R23" i="4"/>
  <c r="Q23" i="4"/>
  <c r="P23" i="4"/>
  <c r="O23" i="4"/>
  <c r="N23" i="4"/>
  <c r="M23" i="4"/>
  <c r="L23" i="4"/>
  <c r="B15" i="4"/>
  <c r="V25" i="4" s="1"/>
  <c r="C13" i="4"/>
  <c r="B13" i="4"/>
  <c r="B12" i="4"/>
  <c r="B14" i="4" s="1"/>
  <c r="C12" i="4" s="1"/>
  <c r="C14" i="4" s="1"/>
  <c r="D12" i="4" s="1"/>
  <c r="D14" i="4" s="1"/>
  <c r="E12" i="4" s="1"/>
  <c r="E14" i="4" s="1"/>
  <c r="F12" i="4" s="1"/>
  <c r="F14" i="4" s="1"/>
  <c r="G12" i="4" s="1"/>
  <c r="G14" i="4" s="1"/>
  <c r="H12" i="4" s="1"/>
  <c r="H14" i="4" s="1"/>
  <c r="I12" i="4" s="1"/>
  <c r="I14" i="4" s="1"/>
  <c r="A3" i="4"/>
  <c r="A2" i="4"/>
  <c r="A1" i="4"/>
  <c r="AH92" i="3"/>
  <c r="AG92" i="3"/>
  <c r="AF92" i="3"/>
  <c r="AE92" i="3"/>
  <c r="AD92" i="3"/>
  <c r="AC92" i="3"/>
  <c r="V92" i="3"/>
  <c r="U92" i="3"/>
  <c r="T92" i="3"/>
  <c r="S92" i="3"/>
  <c r="R92" i="3"/>
  <c r="Q92" i="3"/>
  <c r="AH91" i="3"/>
  <c r="AG91" i="3"/>
  <c r="AF91" i="3"/>
  <c r="AE91" i="3"/>
  <c r="AD91" i="3"/>
  <c r="AC91" i="3"/>
  <c r="AB91" i="3"/>
  <c r="V91" i="3"/>
  <c r="U91" i="3"/>
  <c r="T91" i="3"/>
  <c r="S91" i="3"/>
  <c r="R91" i="3"/>
  <c r="Q91" i="3"/>
  <c r="P91" i="3"/>
  <c r="AH90" i="3"/>
  <c r="AG90" i="3"/>
  <c r="AF90" i="3"/>
  <c r="AE90" i="3"/>
  <c r="AD90" i="3"/>
  <c r="AC90" i="3"/>
  <c r="AA90" i="3"/>
  <c r="V90" i="3"/>
  <c r="U90" i="3"/>
  <c r="T90" i="3"/>
  <c r="S90" i="3"/>
  <c r="R90" i="3"/>
  <c r="Q90" i="3"/>
  <c r="P90" i="3"/>
  <c r="AH89" i="3"/>
  <c r="AG89" i="3"/>
  <c r="AF89" i="3"/>
  <c r="AE89" i="3"/>
  <c r="AD89" i="3"/>
  <c r="AC89" i="3"/>
  <c r="AA89" i="3"/>
  <c r="V89" i="3"/>
  <c r="U89" i="3"/>
  <c r="T89" i="3"/>
  <c r="S89" i="3"/>
  <c r="R89" i="3"/>
  <c r="Q89" i="3"/>
  <c r="AH88" i="3"/>
  <c r="AG88" i="3"/>
  <c r="AF88" i="3"/>
  <c r="AE88" i="3"/>
  <c r="AD88" i="3"/>
  <c r="AC88" i="3"/>
  <c r="V88" i="3"/>
  <c r="U88" i="3"/>
  <c r="T88" i="3"/>
  <c r="S88" i="3"/>
  <c r="R88" i="3"/>
  <c r="Q88" i="3"/>
  <c r="O88" i="3"/>
  <c r="AH87" i="3"/>
  <c r="AG87" i="3"/>
  <c r="AF87" i="3"/>
  <c r="AE87" i="3"/>
  <c r="AD87" i="3"/>
  <c r="AC87" i="3"/>
  <c r="V87" i="3"/>
  <c r="U87" i="3"/>
  <c r="T87" i="3"/>
  <c r="S87" i="3"/>
  <c r="R87" i="3"/>
  <c r="Q87" i="3"/>
  <c r="AH86" i="3"/>
  <c r="AG86" i="3"/>
  <c r="AF86" i="3"/>
  <c r="AE86" i="3"/>
  <c r="AD86" i="3"/>
  <c r="AC86" i="3"/>
  <c r="AB86" i="3"/>
  <c r="V86" i="3"/>
  <c r="U86" i="3"/>
  <c r="T86" i="3"/>
  <c r="S86" i="3"/>
  <c r="R86" i="3"/>
  <c r="Q86" i="3"/>
  <c r="AH83" i="3"/>
  <c r="AG83" i="3"/>
  <c r="AF83" i="3"/>
  <c r="AE83" i="3"/>
  <c r="AD83" i="3"/>
  <c r="AC83" i="3"/>
  <c r="AA83" i="3"/>
  <c r="V83" i="3"/>
  <c r="U83" i="3"/>
  <c r="T83" i="3"/>
  <c r="S83" i="3"/>
  <c r="R83" i="3"/>
  <c r="Q83" i="3"/>
  <c r="O83" i="3"/>
  <c r="AH82" i="3"/>
  <c r="AG82" i="3"/>
  <c r="AF82" i="3"/>
  <c r="AE82" i="3"/>
  <c r="AD82" i="3"/>
  <c r="AC82" i="3"/>
  <c r="AB82" i="3"/>
  <c r="V82" i="3"/>
  <c r="U82" i="3"/>
  <c r="T82" i="3"/>
  <c r="S82" i="3"/>
  <c r="R82" i="3"/>
  <c r="Q82" i="3"/>
  <c r="AH81" i="3"/>
  <c r="AG81" i="3"/>
  <c r="AF81" i="3"/>
  <c r="AE81" i="3"/>
  <c r="AD81" i="3"/>
  <c r="AC81" i="3"/>
  <c r="V81" i="3"/>
  <c r="U81" i="3"/>
  <c r="T81" i="3"/>
  <c r="S81" i="3"/>
  <c r="R81" i="3"/>
  <c r="Q81" i="3"/>
  <c r="O81" i="3"/>
  <c r="AH80" i="3"/>
  <c r="AG80" i="3"/>
  <c r="AF80" i="3"/>
  <c r="AE80" i="3"/>
  <c r="AD80" i="3"/>
  <c r="AC80" i="3"/>
  <c r="AB80" i="3"/>
  <c r="V80" i="3"/>
  <c r="U80" i="3"/>
  <c r="T80" i="3"/>
  <c r="S80" i="3"/>
  <c r="R80" i="3"/>
  <c r="Q80" i="3"/>
  <c r="AH79" i="3"/>
  <c r="AG79" i="3"/>
  <c r="AF79" i="3"/>
  <c r="AE79" i="3"/>
  <c r="AD79" i="3"/>
  <c r="AC79" i="3"/>
  <c r="AA79" i="3"/>
  <c r="V79" i="3"/>
  <c r="U79" i="3"/>
  <c r="T79" i="3"/>
  <c r="S79" i="3"/>
  <c r="R79" i="3"/>
  <c r="Q79" i="3"/>
  <c r="P79" i="3"/>
  <c r="O79" i="3"/>
  <c r="AH78" i="3"/>
  <c r="AG78" i="3"/>
  <c r="AF78" i="3"/>
  <c r="AE78" i="3"/>
  <c r="AD78" i="3"/>
  <c r="AC78" i="3"/>
  <c r="V78" i="3"/>
  <c r="U78" i="3"/>
  <c r="T78" i="3"/>
  <c r="S78" i="3"/>
  <c r="R78" i="3"/>
  <c r="Q78" i="3"/>
  <c r="O78" i="3"/>
  <c r="AH77" i="3"/>
  <c r="AG77" i="3"/>
  <c r="AF77" i="3"/>
  <c r="AE77" i="3"/>
  <c r="AD77" i="3"/>
  <c r="AC77" i="3"/>
  <c r="V77" i="3"/>
  <c r="U77" i="3"/>
  <c r="T77" i="3"/>
  <c r="S77" i="3"/>
  <c r="R77" i="3"/>
  <c r="Q77" i="3"/>
  <c r="O77" i="3"/>
  <c r="AH76" i="3"/>
  <c r="AG76" i="3"/>
  <c r="AF76" i="3"/>
  <c r="AE76" i="3"/>
  <c r="AD76" i="3"/>
  <c r="AC76" i="3"/>
  <c r="AB76" i="3"/>
  <c r="V76" i="3"/>
  <c r="U76" i="3"/>
  <c r="T76" i="3"/>
  <c r="S76" i="3"/>
  <c r="R76" i="3"/>
  <c r="Q76" i="3"/>
  <c r="AH72" i="3"/>
  <c r="AG72" i="3"/>
  <c r="AF72" i="3"/>
  <c r="AE72" i="3"/>
  <c r="AD72" i="3"/>
  <c r="AC72" i="3"/>
  <c r="V72" i="3"/>
  <c r="U72" i="3"/>
  <c r="T72" i="3"/>
  <c r="S72" i="3"/>
  <c r="R72" i="3"/>
  <c r="Q72" i="3"/>
  <c r="P72" i="3"/>
  <c r="AH71" i="3"/>
  <c r="AG71" i="3"/>
  <c r="AF71" i="3"/>
  <c r="AE71" i="3"/>
  <c r="AD71" i="3"/>
  <c r="AC71" i="3"/>
  <c r="V71" i="3"/>
  <c r="U71" i="3"/>
  <c r="T71" i="3"/>
  <c r="S71" i="3"/>
  <c r="R71" i="3"/>
  <c r="Q71" i="3"/>
  <c r="P71" i="3"/>
  <c r="AH63" i="3"/>
  <c r="AG63" i="3"/>
  <c r="AF63" i="3"/>
  <c r="AE63" i="3"/>
  <c r="AD63" i="3"/>
  <c r="AC63" i="3"/>
  <c r="AA63" i="3"/>
  <c r="V63" i="3"/>
  <c r="U63" i="3"/>
  <c r="T63" i="3"/>
  <c r="S63" i="3"/>
  <c r="R63" i="3"/>
  <c r="Q63" i="3"/>
  <c r="K63" i="3"/>
  <c r="AH62" i="3"/>
  <c r="AG62" i="3"/>
  <c r="AF62" i="3"/>
  <c r="AE62" i="3"/>
  <c r="AD62" i="3"/>
  <c r="AC62" i="3"/>
  <c r="AB62" i="3"/>
  <c r="AA62" i="3"/>
  <c r="V62" i="3"/>
  <c r="U62" i="3"/>
  <c r="T62" i="3"/>
  <c r="S62" i="3"/>
  <c r="R62" i="3"/>
  <c r="Q62" i="3"/>
  <c r="P62" i="3"/>
  <c r="K62" i="3"/>
  <c r="AH61" i="3"/>
  <c r="AG61" i="3"/>
  <c r="AF61" i="3"/>
  <c r="AE61" i="3"/>
  <c r="AD61" i="3"/>
  <c r="AC61" i="3"/>
  <c r="V61" i="3"/>
  <c r="U61" i="3"/>
  <c r="T61" i="3"/>
  <c r="S61" i="3"/>
  <c r="R61" i="3"/>
  <c r="Q61" i="3"/>
  <c r="P61" i="3"/>
  <c r="O61" i="3"/>
  <c r="K61" i="3"/>
  <c r="AH60" i="3"/>
  <c r="AG60" i="3"/>
  <c r="AF60" i="3"/>
  <c r="AE60" i="3"/>
  <c r="AD60" i="3"/>
  <c r="AC60" i="3"/>
  <c r="V60" i="3"/>
  <c r="U60" i="3"/>
  <c r="T60" i="3"/>
  <c r="S60" i="3"/>
  <c r="R60" i="3"/>
  <c r="Q60" i="3"/>
  <c r="O60" i="3"/>
  <c r="K60" i="3"/>
  <c r="AH59" i="3"/>
  <c r="AG59" i="3"/>
  <c r="AF59" i="3"/>
  <c r="AE59" i="3"/>
  <c r="AD59" i="3"/>
  <c r="AC59" i="3"/>
  <c r="AA59" i="3"/>
  <c r="V59" i="3"/>
  <c r="U59" i="3"/>
  <c r="T59" i="3"/>
  <c r="S59" i="3"/>
  <c r="R59" i="3"/>
  <c r="Q59" i="3"/>
  <c r="K59" i="3"/>
  <c r="AH58" i="3"/>
  <c r="AG58" i="3"/>
  <c r="AF58" i="3"/>
  <c r="AE58" i="3"/>
  <c r="AD58" i="3"/>
  <c r="AC58" i="3"/>
  <c r="V58" i="3"/>
  <c r="U58" i="3"/>
  <c r="T58" i="3"/>
  <c r="S58" i="3"/>
  <c r="R58" i="3"/>
  <c r="Q58" i="3"/>
  <c r="O58" i="3"/>
  <c r="K58" i="3"/>
  <c r="AH57" i="3"/>
  <c r="AG57" i="3"/>
  <c r="AF57" i="3"/>
  <c r="AE57" i="3"/>
  <c r="AD57" i="3"/>
  <c r="AC57" i="3"/>
  <c r="AA57" i="3"/>
  <c r="V57" i="3"/>
  <c r="U57" i="3"/>
  <c r="T57" i="3"/>
  <c r="S57" i="3"/>
  <c r="R57" i="3"/>
  <c r="Q57" i="3"/>
  <c r="P57" i="3"/>
  <c r="K57" i="3"/>
  <c r="AH54" i="3"/>
  <c r="AG54" i="3"/>
  <c r="AF54" i="3"/>
  <c r="AE54" i="3"/>
  <c r="AD54" i="3"/>
  <c r="AC54" i="3"/>
  <c r="V54" i="3"/>
  <c r="U54" i="3"/>
  <c r="T54" i="3"/>
  <c r="S54" i="3"/>
  <c r="R54" i="3"/>
  <c r="Q54" i="3"/>
  <c r="O54" i="3"/>
  <c r="K54" i="3"/>
  <c r="AH53" i="3"/>
  <c r="AG53" i="3"/>
  <c r="AF53" i="3"/>
  <c r="AE53" i="3"/>
  <c r="AD53" i="3"/>
  <c r="AC53" i="3"/>
  <c r="V53" i="3"/>
  <c r="U53" i="3"/>
  <c r="T53" i="3"/>
  <c r="S53" i="3"/>
  <c r="R53" i="3"/>
  <c r="Q53" i="3"/>
  <c r="K53" i="3"/>
  <c r="AH52" i="3"/>
  <c r="AG52" i="3"/>
  <c r="AF52" i="3"/>
  <c r="AE52" i="3"/>
  <c r="AD52" i="3"/>
  <c r="AC52" i="3"/>
  <c r="V52" i="3"/>
  <c r="U52" i="3"/>
  <c r="T52" i="3"/>
  <c r="S52" i="3"/>
  <c r="R52" i="3"/>
  <c r="Q52" i="3"/>
  <c r="O52" i="3"/>
  <c r="K52" i="3"/>
  <c r="AH51" i="3"/>
  <c r="AG51" i="3"/>
  <c r="AF51" i="3"/>
  <c r="AE51" i="3"/>
  <c r="AD51" i="3"/>
  <c r="AC51" i="3"/>
  <c r="V51" i="3"/>
  <c r="U51" i="3"/>
  <c r="T51" i="3"/>
  <c r="S51" i="3"/>
  <c r="R51" i="3"/>
  <c r="Q51" i="3"/>
  <c r="P51" i="3"/>
  <c r="K51" i="3"/>
  <c r="AH50" i="3"/>
  <c r="AG50" i="3"/>
  <c r="AF50" i="3"/>
  <c r="AE50" i="3"/>
  <c r="AD50" i="3"/>
  <c r="AC50" i="3"/>
  <c r="AB50" i="3"/>
  <c r="V50" i="3"/>
  <c r="U50" i="3"/>
  <c r="T50" i="3"/>
  <c r="S50" i="3"/>
  <c r="R50" i="3"/>
  <c r="Q50" i="3"/>
  <c r="O50" i="3"/>
  <c r="K50" i="3"/>
  <c r="AH49" i="3"/>
  <c r="AG49" i="3"/>
  <c r="AF49" i="3"/>
  <c r="AE49" i="3"/>
  <c r="AD49" i="3"/>
  <c r="AC49" i="3"/>
  <c r="AA49" i="3"/>
  <c r="V49" i="3"/>
  <c r="U49" i="3"/>
  <c r="T49" i="3"/>
  <c r="S49" i="3"/>
  <c r="R49" i="3"/>
  <c r="Q49" i="3"/>
  <c r="K49" i="3"/>
  <c r="AH48" i="3"/>
  <c r="AG48" i="3"/>
  <c r="AF48" i="3"/>
  <c r="AE48" i="3"/>
  <c r="AD48" i="3"/>
  <c r="AC48" i="3"/>
  <c r="AB48" i="3"/>
  <c r="V48" i="3"/>
  <c r="U48" i="3"/>
  <c r="T48" i="3"/>
  <c r="S48" i="3"/>
  <c r="R48" i="3"/>
  <c r="Q48" i="3"/>
  <c r="O48" i="3"/>
  <c r="K48" i="3"/>
  <c r="AH47" i="3"/>
  <c r="AG47" i="3"/>
  <c r="AF47" i="3"/>
  <c r="AE47" i="3"/>
  <c r="AD47" i="3"/>
  <c r="AC47" i="3"/>
  <c r="V47" i="3"/>
  <c r="U47" i="3"/>
  <c r="T47" i="3"/>
  <c r="S47" i="3"/>
  <c r="R47" i="3"/>
  <c r="Q47" i="3"/>
  <c r="P47" i="3"/>
  <c r="K47" i="3"/>
  <c r="AH44" i="3"/>
  <c r="AG44" i="3"/>
  <c r="AF44" i="3"/>
  <c r="AE44" i="3"/>
  <c r="AD44" i="3"/>
  <c r="AC44" i="3"/>
  <c r="V44" i="3"/>
  <c r="U44" i="3"/>
  <c r="T44" i="3"/>
  <c r="S44" i="3"/>
  <c r="R44" i="3"/>
  <c r="Q44" i="3"/>
  <c r="O44" i="3"/>
  <c r="K44" i="3"/>
  <c r="AH43" i="3"/>
  <c r="AG43" i="3"/>
  <c r="AF43" i="3"/>
  <c r="AE43" i="3"/>
  <c r="AD43" i="3"/>
  <c r="AC43" i="3"/>
  <c r="V43" i="3"/>
  <c r="U43" i="3"/>
  <c r="T43" i="3"/>
  <c r="S43" i="3"/>
  <c r="R43" i="3"/>
  <c r="Q43" i="3"/>
  <c r="K43" i="3"/>
  <c r="AH42" i="3"/>
  <c r="AG42" i="3"/>
  <c r="AF42" i="3"/>
  <c r="AE42" i="3"/>
  <c r="AD42" i="3"/>
  <c r="AC42" i="3"/>
  <c r="AB42" i="3"/>
  <c r="V42" i="3"/>
  <c r="U42" i="3"/>
  <c r="T42" i="3"/>
  <c r="S42" i="3"/>
  <c r="R42" i="3"/>
  <c r="Q42" i="3"/>
  <c r="P42" i="3"/>
  <c r="K42" i="3"/>
  <c r="D34" i="3"/>
  <c r="C34" i="3"/>
  <c r="D33" i="3"/>
  <c r="C33" i="3"/>
  <c r="K32" i="3"/>
  <c r="AI61" i="3" s="1"/>
  <c r="D32" i="3"/>
  <c r="AB90" i="3" s="1"/>
  <c r="C32" i="3"/>
  <c r="O90" i="3" s="1"/>
  <c r="D31" i="3"/>
  <c r="C31" i="3"/>
  <c r="O89" i="3" s="1"/>
  <c r="D30" i="3"/>
  <c r="C30" i="3"/>
  <c r="D29" i="3"/>
  <c r="P87" i="3" s="1"/>
  <c r="C29" i="3"/>
  <c r="K28" i="3"/>
  <c r="AI86" i="3" s="1"/>
  <c r="D28" i="3"/>
  <c r="P86" i="3" s="1"/>
  <c r="C28" i="3"/>
  <c r="AA86" i="3" s="1"/>
  <c r="D25" i="3"/>
  <c r="C25" i="3"/>
  <c r="AA54" i="3" s="1"/>
  <c r="D24" i="3"/>
  <c r="P82" i="3" s="1"/>
  <c r="C24" i="3"/>
  <c r="D23" i="3"/>
  <c r="P81" i="3" s="1"/>
  <c r="C23" i="3"/>
  <c r="D22" i="3"/>
  <c r="P80" i="3" s="1"/>
  <c r="C22" i="3"/>
  <c r="K21" i="3"/>
  <c r="AI50" i="3" s="1"/>
  <c r="D21" i="3"/>
  <c r="P50" i="3" s="1"/>
  <c r="C21" i="3"/>
  <c r="AA50" i="3" s="1"/>
  <c r="D20" i="3"/>
  <c r="P78" i="3" s="1"/>
  <c r="C20" i="3"/>
  <c r="D19" i="3"/>
  <c r="P48" i="3" s="1"/>
  <c r="C19" i="3"/>
  <c r="K18" i="3"/>
  <c r="AI76" i="3" s="1"/>
  <c r="D18" i="3"/>
  <c r="P76" i="3" s="1"/>
  <c r="C18" i="3"/>
  <c r="AA76" i="3" s="1"/>
  <c r="D15" i="3"/>
  <c r="P44" i="3" s="1"/>
  <c r="C15" i="3"/>
  <c r="AA44" i="3" s="1"/>
  <c r="D14" i="3"/>
  <c r="C14" i="3"/>
  <c r="D13" i="3"/>
  <c r="AB71" i="3" s="1"/>
  <c r="C13" i="3"/>
  <c r="O42" i="3" s="1"/>
  <c r="A3" i="3"/>
  <c r="A2" i="3"/>
  <c r="A1" i="3"/>
  <c r="D231" i="2"/>
  <c r="T230" i="2"/>
  <c r="P230" i="2"/>
  <c r="G230" i="2"/>
  <c r="U229" i="2"/>
  <c r="J229" i="2"/>
  <c r="U228" i="2"/>
  <c r="J228" i="2"/>
  <c r="U227" i="2"/>
  <c r="J227" i="2"/>
  <c r="T226" i="2"/>
  <c r="S226" i="2"/>
  <c r="S230" i="2" s="1"/>
  <c r="R226" i="2"/>
  <c r="R230" i="2" s="1"/>
  <c r="Q226" i="2"/>
  <c r="Q230" i="2" s="1"/>
  <c r="P226" i="2"/>
  <c r="O226" i="2"/>
  <c r="O230" i="2" s="1"/>
  <c r="N226" i="2"/>
  <c r="N230" i="2" s="1"/>
  <c r="M226" i="2"/>
  <c r="M230" i="2" s="1"/>
  <c r="I226" i="2"/>
  <c r="I230" i="2" s="1"/>
  <c r="I231" i="2" s="1"/>
  <c r="I233" i="2" s="1"/>
  <c r="H226" i="2"/>
  <c r="H230" i="2" s="1"/>
  <c r="G226" i="2"/>
  <c r="F226" i="2"/>
  <c r="F230" i="2" s="1"/>
  <c r="F231" i="2" s="1"/>
  <c r="E226" i="2"/>
  <c r="E230" i="2" s="1"/>
  <c r="E231" i="2" s="1"/>
  <c r="E233" i="2" s="1"/>
  <c r="D226" i="2"/>
  <c r="D230" i="2" s="1"/>
  <c r="C226" i="2"/>
  <c r="C230" i="2" s="1"/>
  <c r="C231" i="2" s="1"/>
  <c r="C233" i="2" s="1"/>
  <c r="B226" i="2"/>
  <c r="B230" i="2" s="1"/>
  <c r="B231" i="2" s="1"/>
  <c r="B233" i="2" s="1"/>
  <c r="U225" i="2"/>
  <c r="J225" i="2"/>
  <c r="U224" i="2"/>
  <c r="J224" i="2"/>
  <c r="U223" i="2"/>
  <c r="J223" i="2"/>
  <c r="U222" i="2"/>
  <c r="J222" i="2"/>
  <c r="U221" i="2"/>
  <c r="J221" i="2"/>
  <c r="U220" i="2"/>
  <c r="J220" i="2"/>
  <c r="J226" i="2" s="1"/>
  <c r="J230" i="2" s="1"/>
  <c r="J231" i="2" s="1"/>
  <c r="U219" i="2"/>
  <c r="U226" i="2" s="1"/>
  <c r="U230" i="2" s="1"/>
  <c r="J219" i="2"/>
  <c r="I218" i="2"/>
  <c r="F218" i="2"/>
  <c r="B218" i="2"/>
  <c r="U217" i="2"/>
  <c r="U216" i="2"/>
  <c r="I215" i="2"/>
  <c r="H215" i="2"/>
  <c r="H218" i="2" s="1"/>
  <c r="G215" i="2"/>
  <c r="G218" i="2" s="1"/>
  <c r="F215" i="2"/>
  <c r="E215" i="2"/>
  <c r="E218" i="2" s="1"/>
  <c r="D215" i="2"/>
  <c r="D218" i="2" s="1"/>
  <c r="C215" i="2"/>
  <c r="C218" i="2" s="1"/>
  <c r="B215" i="2"/>
  <c r="J215" i="2" s="1"/>
  <c r="J218" i="2" s="1"/>
  <c r="T214" i="2"/>
  <c r="S214" i="2"/>
  <c r="R214" i="2"/>
  <c r="Q214" i="2"/>
  <c r="P214" i="2"/>
  <c r="O214" i="2"/>
  <c r="N214" i="2"/>
  <c r="M214" i="2"/>
  <c r="I214" i="2"/>
  <c r="H214" i="2"/>
  <c r="G214" i="2"/>
  <c r="F214" i="2"/>
  <c r="E214" i="2"/>
  <c r="D214" i="2"/>
  <c r="C214" i="2"/>
  <c r="B214" i="2"/>
  <c r="U213" i="2"/>
  <c r="J213" i="2"/>
  <c r="U212" i="2"/>
  <c r="J212" i="2"/>
  <c r="U211" i="2"/>
  <c r="J211" i="2"/>
  <c r="U210" i="2"/>
  <c r="J210" i="2"/>
  <c r="U209" i="2"/>
  <c r="J209" i="2"/>
  <c r="U208" i="2"/>
  <c r="J208" i="2"/>
  <c r="U207" i="2"/>
  <c r="U214" i="2" s="1"/>
  <c r="J207" i="2"/>
  <c r="J214" i="2" s="1"/>
  <c r="I199" i="2"/>
  <c r="H199" i="2"/>
  <c r="G199" i="2"/>
  <c r="F199" i="2"/>
  <c r="E199" i="2"/>
  <c r="D199" i="2"/>
  <c r="C199" i="2"/>
  <c r="B199" i="2"/>
  <c r="U198" i="2"/>
  <c r="J198" i="2"/>
  <c r="T197" i="2"/>
  <c r="T215" i="2" s="1"/>
  <c r="T218" i="2" s="1"/>
  <c r="P197" i="2"/>
  <c r="P215" i="2" s="1"/>
  <c r="P218" i="2" s="1"/>
  <c r="O197" i="2"/>
  <c r="O215" i="2" s="1"/>
  <c r="O218" i="2" s="1"/>
  <c r="N197" i="2"/>
  <c r="N215" i="2" s="1"/>
  <c r="N218" i="2" s="1"/>
  <c r="N231" i="2" s="1"/>
  <c r="J197" i="2"/>
  <c r="T196" i="2"/>
  <c r="R196" i="2"/>
  <c r="N196" i="2"/>
  <c r="M196" i="2"/>
  <c r="J196" i="2"/>
  <c r="S195" i="2"/>
  <c r="R195" i="2"/>
  <c r="O195" i="2"/>
  <c r="J195" i="2"/>
  <c r="T194" i="2"/>
  <c r="R194" i="2"/>
  <c r="N194" i="2"/>
  <c r="M194" i="2"/>
  <c r="J194" i="2"/>
  <c r="R193" i="2"/>
  <c r="P193" i="2"/>
  <c r="N193" i="2"/>
  <c r="J193" i="2"/>
  <c r="R192" i="2"/>
  <c r="Q192" i="2"/>
  <c r="M192" i="2"/>
  <c r="J192" i="2"/>
  <c r="J199" i="2" s="1"/>
  <c r="J233" i="2" s="1"/>
  <c r="S184" i="2"/>
  <c r="H143" i="2" s="1"/>
  <c r="O184" i="2"/>
  <c r="N184" i="2"/>
  <c r="C143" i="2" s="1"/>
  <c r="I184" i="2"/>
  <c r="H184" i="2"/>
  <c r="G184" i="2"/>
  <c r="F184" i="2"/>
  <c r="E184" i="2"/>
  <c r="D184" i="2"/>
  <c r="C184" i="2"/>
  <c r="B184" i="2"/>
  <c r="R183" i="2"/>
  <c r="P183" i="2"/>
  <c r="E142" i="2" s="1"/>
  <c r="P142" i="2" s="1"/>
  <c r="N183" i="2"/>
  <c r="C142" i="2" s="1"/>
  <c r="J183" i="2"/>
  <c r="T182" i="2"/>
  <c r="I141" i="2" s="1"/>
  <c r="S182" i="2"/>
  <c r="H141" i="2" s="1"/>
  <c r="S141" i="2" s="1"/>
  <c r="AD141" i="2" s="1"/>
  <c r="O182" i="2"/>
  <c r="D141" i="2" s="1"/>
  <c r="N182" i="2"/>
  <c r="C141" i="2" s="1"/>
  <c r="J182" i="2"/>
  <c r="R181" i="2"/>
  <c r="G140" i="2" s="1"/>
  <c r="Q181" i="2"/>
  <c r="N181" i="2"/>
  <c r="C140" i="2" s="1"/>
  <c r="J181" i="2"/>
  <c r="S180" i="2"/>
  <c r="R180" i="2"/>
  <c r="N180" i="2"/>
  <c r="J180" i="2"/>
  <c r="T179" i="2"/>
  <c r="I138" i="2" s="1"/>
  <c r="AE138" i="2" s="1"/>
  <c r="P179" i="2"/>
  <c r="E138" i="2" s="1"/>
  <c r="O179" i="2"/>
  <c r="T177" i="2"/>
  <c r="I136" i="2" s="1"/>
  <c r="R177" i="2"/>
  <c r="P177" i="2"/>
  <c r="E136" i="2" s="1"/>
  <c r="O177" i="2"/>
  <c r="J177" i="2"/>
  <c r="N176" i="2"/>
  <c r="G176" i="2"/>
  <c r="C176" i="2"/>
  <c r="S175" i="2"/>
  <c r="R175" i="2"/>
  <c r="G134" i="2" s="1"/>
  <c r="P175" i="2"/>
  <c r="N175" i="2"/>
  <c r="C134" i="2" s="1"/>
  <c r="I175" i="2"/>
  <c r="I176" i="2" s="1"/>
  <c r="I178" i="2" s="1"/>
  <c r="H175" i="2"/>
  <c r="G175" i="2"/>
  <c r="F175" i="2"/>
  <c r="E175" i="2"/>
  <c r="E176" i="2" s="1"/>
  <c r="D175" i="2"/>
  <c r="C175" i="2"/>
  <c r="B175" i="2"/>
  <c r="R174" i="2"/>
  <c r="G133" i="2" s="1"/>
  <c r="Q174" i="2"/>
  <c r="F133" i="2" s="1"/>
  <c r="P174" i="2"/>
  <c r="E133" i="2" s="1"/>
  <c r="P133" i="2" s="1"/>
  <c r="AA133" i="2" s="1"/>
  <c r="M174" i="2"/>
  <c r="B133" i="2" s="1"/>
  <c r="J174" i="2"/>
  <c r="T173" i="2"/>
  <c r="I132" i="2" s="1"/>
  <c r="T132" i="2" s="1"/>
  <c r="AE132" i="2" s="1"/>
  <c r="R173" i="2"/>
  <c r="G132" i="2" s="1"/>
  <c r="P173" i="2"/>
  <c r="E132" i="2" s="1"/>
  <c r="O173" i="2"/>
  <c r="J173" i="2"/>
  <c r="T172" i="2"/>
  <c r="Q172" i="2"/>
  <c r="F131" i="2" s="1"/>
  <c r="P172" i="2"/>
  <c r="N172" i="2"/>
  <c r="C131" i="2" s="1"/>
  <c r="I172" i="2"/>
  <c r="H172" i="2"/>
  <c r="H176" i="2" s="1"/>
  <c r="G172" i="2"/>
  <c r="F172" i="2"/>
  <c r="E172" i="2"/>
  <c r="D172" i="2"/>
  <c r="D176" i="2" s="1"/>
  <c r="C172" i="2"/>
  <c r="B172" i="2"/>
  <c r="B176" i="2" s="1"/>
  <c r="B178" i="2" s="1"/>
  <c r="B185" i="2" s="1"/>
  <c r="T171" i="2"/>
  <c r="S171" i="2"/>
  <c r="H130" i="2" s="1"/>
  <c r="P171" i="2"/>
  <c r="E130" i="2" s="1"/>
  <c r="O171" i="2"/>
  <c r="N171" i="2"/>
  <c r="C130" i="2" s="1"/>
  <c r="J171" i="2"/>
  <c r="T170" i="2"/>
  <c r="R170" i="2"/>
  <c r="G129" i="2" s="1"/>
  <c r="R129" i="2" s="1"/>
  <c r="AC129" i="2" s="1"/>
  <c r="P170" i="2"/>
  <c r="N170" i="2"/>
  <c r="C129" i="2" s="1"/>
  <c r="M170" i="2"/>
  <c r="B129" i="2" s="1"/>
  <c r="J170" i="2"/>
  <c r="T169" i="2"/>
  <c r="I128" i="2" s="1"/>
  <c r="S169" i="2"/>
  <c r="H128" i="2" s="1"/>
  <c r="S128" i="2" s="1"/>
  <c r="R169" i="2"/>
  <c r="O169" i="2"/>
  <c r="N169" i="2"/>
  <c r="C128" i="2" s="1"/>
  <c r="J169" i="2"/>
  <c r="T168" i="2"/>
  <c r="I127" i="2" s="1"/>
  <c r="T127" i="2" s="1"/>
  <c r="AE127" i="2" s="1"/>
  <c r="R168" i="2"/>
  <c r="Q168" i="2"/>
  <c r="N168" i="2"/>
  <c r="C127" i="2" s="1"/>
  <c r="M168" i="2"/>
  <c r="J168" i="2"/>
  <c r="S167" i="2"/>
  <c r="R167" i="2"/>
  <c r="G126" i="2" s="1"/>
  <c r="P167" i="2"/>
  <c r="N167" i="2"/>
  <c r="C126" i="2" s="1"/>
  <c r="J167" i="2"/>
  <c r="R166" i="2"/>
  <c r="Q166" i="2"/>
  <c r="F125" i="2" s="1"/>
  <c r="Q125" i="2" s="1"/>
  <c r="P166" i="2"/>
  <c r="M166" i="2"/>
  <c r="B125" i="2" s="1"/>
  <c r="J166" i="2"/>
  <c r="T165" i="2"/>
  <c r="I124" i="2" s="1"/>
  <c r="T124" i="2" s="1"/>
  <c r="R165" i="2"/>
  <c r="P165" i="2"/>
  <c r="E124" i="2" s="1"/>
  <c r="O165" i="2"/>
  <c r="D124" i="2" s="1"/>
  <c r="O124" i="2" s="1"/>
  <c r="Z124" i="2" s="1"/>
  <c r="J165" i="2"/>
  <c r="T164" i="2"/>
  <c r="Q164" i="2"/>
  <c r="P164" i="2"/>
  <c r="N164" i="2"/>
  <c r="J164" i="2"/>
  <c r="T163" i="2"/>
  <c r="S163" i="2"/>
  <c r="P163" i="2"/>
  <c r="E122" i="2" s="1"/>
  <c r="P122" i="2" s="1"/>
  <c r="AA122" i="2" s="1"/>
  <c r="O163" i="2"/>
  <c r="N163" i="2"/>
  <c r="C122" i="2" s="1"/>
  <c r="J163" i="2"/>
  <c r="T162" i="2"/>
  <c r="R162" i="2"/>
  <c r="G121" i="2" s="1"/>
  <c r="R121" i="2" s="1"/>
  <c r="AC121" i="2" s="1"/>
  <c r="P162" i="2"/>
  <c r="N162" i="2"/>
  <c r="C121" i="2" s="1"/>
  <c r="N121" i="2" s="1"/>
  <c r="Y121" i="2" s="1"/>
  <c r="M162" i="2"/>
  <c r="J162" i="2"/>
  <c r="T161" i="2"/>
  <c r="I120" i="2" s="1"/>
  <c r="T120" i="2" s="1"/>
  <c r="AE120" i="2" s="1"/>
  <c r="S161" i="2"/>
  <c r="R161" i="2"/>
  <c r="O161" i="2"/>
  <c r="D120" i="2" s="1"/>
  <c r="N161" i="2"/>
  <c r="J161" i="2"/>
  <c r="T160" i="2"/>
  <c r="I119" i="2" s="1"/>
  <c r="Q160" i="2"/>
  <c r="M160" i="2"/>
  <c r="I160" i="2"/>
  <c r="H160" i="2"/>
  <c r="G160" i="2"/>
  <c r="R160" i="2" s="1"/>
  <c r="G119" i="2" s="1"/>
  <c r="F160" i="2"/>
  <c r="E160" i="2"/>
  <c r="D160" i="2"/>
  <c r="C160" i="2"/>
  <c r="C178" i="2" s="1"/>
  <c r="C185" i="2" s="1"/>
  <c r="N185" i="2" s="1"/>
  <c r="B160" i="2"/>
  <c r="J160" i="2" s="1"/>
  <c r="S159" i="2"/>
  <c r="H118" i="2" s="1"/>
  <c r="R159" i="2"/>
  <c r="P159" i="2"/>
  <c r="E118" i="2" s="1"/>
  <c r="N159" i="2"/>
  <c r="J159" i="2"/>
  <c r="R158" i="2"/>
  <c r="G117" i="2" s="1"/>
  <c r="R117" i="2" s="1"/>
  <c r="Q158" i="2"/>
  <c r="P158" i="2"/>
  <c r="E117" i="2" s="1"/>
  <c r="M158" i="2"/>
  <c r="J158" i="2"/>
  <c r="T157" i="2"/>
  <c r="R157" i="2"/>
  <c r="G116" i="2" s="1"/>
  <c r="R116" i="2" s="1"/>
  <c r="AC116" i="2" s="1"/>
  <c r="P157" i="2"/>
  <c r="E116" i="2" s="1"/>
  <c r="P116" i="2" s="1"/>
  <c r="O157" i="2"/>
  <c r="J157" i="2"/>
  <c r="T156" i="2"/>
  <c r="I115" i="2" s="1"/>
  <c r="Q156" i="2"/>
  <c r="F115" i="2" s="1"/>
  <c r="P156" i="2"/>
  <c r="E115" i="2" s="1"/>
  <c r="N156" i="2"/>
  <c r="C115" i="2" s="1"/>
  <c r="J156" i="2"/>
  <c r="T155" i="2"/>
  <c r="I114" i="2" s="1"/>
  <c r="S155" i="2"/>
  <c r="H114" i="2" s="1"/>
  <c r="P155" i="2"/>
  <c r="E114" i="2" s="1"/>
  <c r="P114" i="2" s="1"/>
  <c r="AA114" i="2" s="1"/>
  <c r="O155" i="2"/>
  <c r="D114" i="2" s="1"/>
  <c r="N155" i="2"/>
  <c r="C114" i="2" s="1"/>
  <c r="J155" i="2"/>
  <c r="T154" i="2"/>
  <c r="R154" i="2"/>
  <c r="G113" i="2" s="1"/>
  <c r="P154" i="2"/>
  <c r="N154" i="2"/>
  <c r="C113" i="2" s="1"/>
  <c r="M154" i="2"/>
  <c r="J154" i="2"/>
  <c r="T153" i="2"/>
  <c r="S153" i="2"/>
  <c r="H112" i="2" s="1"/>
  <c r="S112" i="2" s="1"/>
  <c r="AD112" i="2" s="1"/>
  <c r="R153" i="2"/>
  <c r="G112" i="2" s="1"/>
  <c r="R112" i="2" s="1"/>
  <c r="AC112" i="2" s="1"/>
  <c r="O153" i="2"/>
  <c r="D112" i="2" s="1"/>
  <c r="N153" i="2"/>
  <c r="J153" i="2"/>
  <c r="D143" i="2"/>
  <c r="AA142" i="2"/>
  <c r="R142" i="2"/>
  <c r="AC142" i="2" s="1"/>
  <c r="G142" i="2"/>
  <c r="Z141" i="2"/>
  <c r="T141" i="2"/>
  <c r="AE141" i="2" s="1"/>
  <c r="O141" i="2"/>
  <c r="AB140" i="2"/>
  <c r="R140" i="2"/>
  <c r="AC140" i="2" s="1"/>
  <c r="F140" i="2"/>
  <c r="Q140" i="2" s="1"/>
  <c r="R139" i="2"/>
  <c r="AC139" i="2" s="1"/>
  <c r="H139" i="2"/>
  <c r="S139" i="2" s="1"/>
  <c r="AD139" i="2" s="1"/>
  <c r="G139" i="2"/>
  <c r="C139" i="2"/>
  <c r="AF138" i="2"/>
  <c r="AA138" i="2"/>
  <c r="D138" i="2"/>
  <c r="Z138" i="2" s="1"/>
  <c r="G136" i="2"/>
  <c r="D136" i="2"/>
  <c r="C135" i="2"/>
  <c r="H134" i="2"/>
  <c r="E134" i="2"/>
  <c r="AC133" i="2"/>
  <c r="R133" i="2"/>
  <c r="Q133" i="2"/>
  <c r="AB133" i="2" s="1"/>
  <c r="M133" i="2"/>
  <c r="X133" i="2" s="1"/>
  <c r="Z132" i="2"/>
  <c r="R132" i="2"/>
  <c r="AC132" i="2" s="1"/>
  <c r="P132" i="2"/>
  <c r="AA132" i="2" s="1"/>
  <c r="D132" i="2"/>
  <c r="O132" i="2" s="1"/>
  <c r="I131" i="2"/>
  <c r="E131" i="2"/>
  <c r="S130" i="2"/>
  <c r="AD130" i="2" s="1"/>
  <c r="P130" i="2"/>
  <c r="AA130" i="2" s="1"/>
  <c r="I130" i="2"/>
  <c r="T130" i="2" s="1"/>
  <c r="AE130" i="2" s="1"/>
  <c r="D130" i="2"/>
  <c r="O130" i="2" s="1"/>
  <c r="Z130" i="2" s="1"/>
  <c r="AE129" i="2"/>
  <c r="I129" i="2"/>
  <c r="T129" i="2" s="1"/>
  <c r="E129" i="2"/>
  <c r="P129" i="2" s="1"/>
  <c r="AA129" i="2" s="1"/>
  <c r="AD128" i="2"/>
  <c r="T128" i="2"/>
  <c r="AE128" i="2" s="1"/>
  <c r="G128" i="2"/>
  <c r="R128" i="2" s="1"/>
  <c r="AC128" i="2" s="1"/>
  <c r="D128" i="2"/>
  <c r="O128" i="2" s="1"/>
  <c r="Z128" i="2" s="1"/>
  <c r="G127" i="2"/>
  <c r="R127" i="2" s="1"/>
  <c r="AC127" i="2" s="1"/>
  <c r="F127" i="2"/>
  <c r="Q127" i="2" s="1"/>
  <c r="AB127" i="2" s="1"/>
  <c r="B127" i="2"/>
  <c r="R126" i="2"/>
  <c r="AC126" i="2" s="1"/>
  <c r="H126" i="2"/>
  <c r="S126" i="2" s="1"/>
  <c r="AD126" i="2" s="1"/>
  <c r="E126" i="2"/>
  <c r="P126" i="2" s="1"/>
  <c r="AA126" i="2" s="1"/>
  <c r="AB125" i="2"/>
  <c r="G125" i="2"/>
  <c r="R125" i="2" s="1"/>
  <c r="AC125" i="2" s="1"/>
  <c r="E125" i="2"/>
  <c r="P125" i="2" s="1"/>
  <c r="AA125" i="2" s="1"/>
  <c r="AE124" i="2"/>
  <c r="AA124" i="2"/>
  <c r="R124" i="2"/>
  <c r="AC124" i="2" s="1"/>
  <c r="P124" i="2"/>
  <c r="G124" i="2"/>
  <c r="T123" i="2"/>
  <c r="AE123" i="2" s="1"/>
  <c r="I123" i="2"/>
  <c r="C123" i="2"/>
  <c r="S122" i="2"/>
  <c r="AD122" i="2" s="1"/>
  <c r="O122" i="2"/>
  <c r="Z122" i="2" s="1"/>
  <c r="I122" i="2"/>
  <c r="T122" i="2" s="1"/>
  <c r="AE122" i="2" s="1"/>
  <c r="H122" i="2"/>
  <c r="D122" i="2"/>
  <c r="T121" i="2"/>
  <c r="AE121" i="2" s="1"/>
  <c r="I121" i="2"/>
  <c r="E121" i="2"/>
  <c r="P121" i="2" s="1"/>
  <c r="AA121" i="2" s="1"/>
  <c r="B121" i="2"/>
  <c r="O120" i="2"/>
  <c r="Z120" i="2" s="1"/>
  <c r="C120" i="2"/>
  <c r="R119" i="2"/>
  <c r="AC119" i="2" s="1"/>
  <c r="F119" i="2"/>
  <c r="AC118" i="2"/>
  <c r="S118" i="2"/>
  <c r="AD118" i="2" s="1"/>
  <c r="P118" i="2"/>
  <c r="AA118" i="2" s="1"/>
  <c r="G118" i="2"/>
  <c r="R118" i="2" s="1"/>
  <c r="C118" i="2"/>
  <c r="AC117" i="2"/>
  <c r="P117" i="2"/>
  <c r="AA117" i="2" s="1"/>
  <c r="F117" i="2"/>
  <c r="Q117" i="2" s="1"/>
  <c r="AB117" i="2" s="1"/>
  <c r="B117" i="2"/>
  <c r="AA116" i="2"/>
  <c r="I116" i="2"/>
  <c r="T116" i="2" s="1"/>
  <c r="AE116" i="2" s="1"/>
  <c r="D116" i="2"/>
  <c r="O116" i="2" s="1"/>
  <c r="Z116" i="2" s="1"/>
  <c r="AA115" i="2"/>
  <c r="T115" i="2"/>
  <c r="AE115" i="2" s="1"/>
  <c r="Q115" i="2"/>
  <c r="AB115" i="2" s="1"/>
  <c r="P115" i="2"/>
  <c r="N115" i="2"/>
  <c r="Y115" i="2" s="1"/>
  <c r="AD114" i="2"/>
  <c r="T114" i="2"/>
  <c r="AE114" i="2" s="1"/>
  <c r="S114" i="2"/>
  <c r="O114" i="2"/>
  <c r="Z114" i="2" s="1"/>
  <c r="T113" i="2"/>
  <c r="AE113" i="2" s="1"/>
  <c r="R113" i="2"/>
  <c r="AC113" i="2" s="1"/>
  <c r="I113" i="2"/>
  <c r="E113" i="2"/>
  <c r="P113" i="2" s="1"/>
  <c r="AA113" i="2" s="1"/>
  <c r="B113" i="2"/>
  <c r="AE112" i="2"/>
  <c r="O112" i="2"/>
  <c r="Z112" i="2" s="1"/>
  <c r="I112" i="2"/>
  <c r="T112" i="2" s="1"/>
  <c r="C112" i="2"/>
  <c r="A108" i="2"/>
  <c r="I102" i="2"/>
  <c r="H102" i="2"/>
  <c r="G102" i="2"/>
  <c r="F102" i="2"/>
  <c r="E102" i="2"/>
  <c r="D102" i="2"/>
  <c r="C102" i="2"/>
  <c r="B102" i="2"/>
  <c r="AE101" i="2"/>
  <c r="AC101" i="2"/>
  <c r="AA101" i="2"/>
  <c r="Z101" i="2"/>
  <c r="Y101" i="2"/>
  <c r="T101" i="2"/>
  <c r="S101" i="2"/>
  <c r="AD101" i="2" s="1"/>
  <c r="R101" i="2"/>
  <c r="Q101" i="2"/>
  <c r="AB101" i="2" s="1"/>
  <c r="P101" i="2"/>
  <c r="O101" i="2"/>
  <c r="N101" i="2"/>
  <c r="AE100" i="2"/>
  <c r="AC100" i="2"/>
  <c r="AA100" i="2"/>
  <c r="X100" i="2"/>
  <c r="T100" i="2"/>
  <c r="S100" i="2"/>
  <c r="AD100" i="2" s="1"/>
  <c r="R100" i="2"/>
  <c r="Q100" i="2"/>
  <c r="AB100" i="2" s="1"/>
  <c r="P100" i="2"/>
  <c r="O100" i="2"/>
  <c r="Z100" i="2" s="1"/>
  <c r="N100" i="2"/>
  <c r="Y100" i="2" s="1"/>
  <c r="M100" i="2"/>
  <c r="J100" i="2"/>
  <c r="AD99" i="2"/>
  <c r="AB99" i="2"/>
  <c r="AA99" i="2"/>
  <c r="Z99" i="2"/>
  <c r="T99" i="2"/>
  <c r="AE99" i="2" s="1"/>
  <c r="S99" i="2"/>
  <c r="R99" i="2"/>
  <c r="AC99" i="2" s="1"/>
  <c r="Q99" i="2"/>
  <c r="P99" i="2"/>
  <c r="O99" i="2"/>
  <c r="N99" i="2"/>
  <c r="Y99" i="2" s="1"/>
  <c r="J99" i="2"/>
  <c r="J102" i="2" s="1"/>
  <c r="J98" i="2"/>
  <c r="AD97" i="2"/>
  <c r="AB97" i="2"/>
  <c r="X97" i="2"/>
  <c r="T97" i="2"/>
  <c r="AE97" i="2" s="1"/>
  <c r="S97" i="2"/>
  <c r="R97" i="2"/>
  <c r="AC97" i="2" s="1"/>
  <c r="Q97" i="2"/>
  <c r="P97" i="2"/>
  <c r="AA97" i="2" s="1"/>
  <c r="O97" i="2"/>
  <c r="Z97" i="2" s="1"/>
  <c r="N97" i="2"/>
  <c r="Y97" i="2" s="1"/>
  <c r="J97" i="2"/>
  <c r="I94" i="2"/>
  <c r="I104" i="2" s="1"/>
  <c r="E94" i="2"/>
  <c r="E104" i="2" s="1"/>
  <c r="AE93" i="2"/>
  <c r="T93" i="2"/>
  <c r="R93" i="2"/>
  <c r="AC93" i="2" s="1"/>
  <c r="P93" i="2"/>
  <c r="AA93" i="2" s="1"/>
  <c r="I93" i="2"/>
  <c r="H93" i="2"/>
  <c r="G93" i="2"/>
  <c r="F93" i="2"/>
  <c r="E93" i="2"/>
  <c r="D93" i="2"/>
  <c r="C93" i="2"/>
  <c r="B93" i="2"/>
  <c r="AC92" i="2"/>
  <c r="AA92" i="2"/>
  <c r="Z92" i="2"/>
  <c r="T92" i="2"/>
  <c r="AE92" i="2" s="1"/>
  <c r="S92" i="2"/>
  <c r="AD92" i="2" s="1"/>
  <c r="R92" i="2"/>
  <c r="Q92" i="2"/>
  <c r="AB92" i="2" s="1"/>
  <c r="P92" i="2"/>
  <c r="O92" i="2"/>
  <c r="J92" i="2"/>
  <c r="J93" i="2" s="1"/>
  <c r="AB91" i="2"/>
  <c r="Z91" i="2"/>
  <c r="T91" i="2"/>
  <c r="AE91" i="2" s="1"/>
  <c r="S91" i="2"/>
  <c r="AD91" i="2" s="1"/>
  <c r="R91" i="2"/>
  <c r="AC91" i="2" s="1"/>
  <c r="Q91" i="2"/>
  <c r="P91" i="2"/>
  <c r="AA91" i="2" s="1"/>
  <c r="O91" i="2"/>
  <c r="N91" i="2"/>
  <c r="Y91" i="2" s="1"/>
  <c r="J91" i="2"/>
  <c r="AE90" i="2"/>
  <c r="AC90" i="2"/>
  <c r="AA90" i="2"/>
  <c r="X90" i="2"/>
  <c r="T90" i="2"/>
  <c r="S90" i="2"/>
  <c r="AD90" i="2" s="1"/>
  <c r="R90" i="2"/>
  <c r="Q90" i="2"/>
  <c r="AB90" i="2" s="1"/>
  <c r="P90" i="2"/>
  <c r="O90" i="2"/>
  <c r="Z90" i="2" s="1"/>
  <c r="M90" i="2"/>
  <c r="J90" i="2"/>
  <c r="AD89" i="2"/>
  <c r="AB89" i="2"/>
  <c r="Z89" i="2"/>
  <c r="T89" i="2"/>
  <c r="AE89" i="2" s="1"/>
  <c r="S89" i="2"/>
  <c r="R89" i="2"/>
  <c r="AC89" i="2" s="1"/>
  <c r="Q89" i="2"/>
  <c r="P89" i="2"/>
  <c r="AA89" i="2" s="1"/>
  <c r="O89" i="2"/>
  <c r="J89" i="2"/>
  <c r="AF88" i="2"/>
  <c r="AE88" i="2"/>
  <c r="AD88" i="2"/>
  <c r="AC88" i="2"/>
  <c r="AB88" i="2"/>
  <c r="AA88" i="2"/>
  <c r="Z88" i="2"/>
  <c r="Y88" i="2"/>
  <c r="X88" i="2"/>
  <c r="AF86" i="2"/>
  <c r="AE86" i="2"/>
  <c r="AD86" i="2"/>
  <c r="AC86" i="2"/>
  <c r="AB86" i="2"/>
  <c r="AA86" i="2"/>
  <c r="Z86" i="2"/>
  <c r="Y86" i="2"/>
  <c r="X86" i="2"/>
  <c r="C85" i="2"/>
  <c r="C87" i="2" s="1"/>
  <c r="C94" i="2" s="1"/>
  <c r="C104" i="2" s="1"/>
  <c r="B85" i="2"/>
  <c r="Z84" i="2"/>
  <c r="S84" i="2"/>
  <c r="AD84" i="2" s="1"/>
  <c r="P84" i="2"/>
  <c r="AA84" i="2" s="1"/>
  <c r="O84" i="2"/>
  <c r="M84" i="2"/>
  <c r="X84" i="2" s="1"/>
  <c r="J84" i="2"/>
  <c r="AF83" i="2"/>
  <c r="AC83" i="2"/>
  <c r="AB83" i="2"/>
  <c r="Z83" i="2"/>
  <c r="T83" i="2"/>
  <c r="AE83" i="2" s="1"/>
  <c r="S83" i="2"/>
  <c r="AD83" i="2" s="1"/>
  <c r="R83" i="2"/>
  <c r="Q83" i="2"/>
  <c r="P83" i="2"/>
  <c r="AA83" i="2" s="1"/>
  <c r="O83" i="2"/>
  <c r="N83" i="2"/>
  <c r="Y83" i="2" s="1"/>
  <c r="J83" i="2"/>
  <c r="AE82" i="2"/>
  <c r="AA82" i="2"/>
  <c r="X82" i="2"/>
  <c r="T82" i="2"/>
  <c r="S82" i="2"/>
  <c r="AD82" i="2" s="1"/>
  <c r="R82" i="2"/>
  <c r="AC82" i="2" s="1"/>
  <c r="Q82" i="2"/>
  <c r="AB82" i="2" s="1"/>
  <c r="P82" i="2"/>
  <c r="O82" i="2"/>
  <c r="Z82" i="2" s="1"/>
  <c r="N82" i="2"/>
  <c r="Y82" i="2" s="1"/>
  <c r="M82" i="2"/>
  <c r="J82" i="2"/>
  <c r="AE81" i="2"/>
  <c r="T81" i="2"/>
  <c r="R81" i="2"/>
  <c r="AC81" i="2" s="1"/>
  <c r="I81" i="2"/>
  <c r="I85" i="2" s="1"/>
  <c r="I87" i="2" s="1"/>
  <c r="H81" i="2"/>
  <c r="H85" i="2" s="1"/>
  <c r="H87" i="2" s="1"/>
  <c r="H94" i="2" s="1"/>
  <c r="H104" i="2" s="1"/>
  <c r="G81" i="2"/>
  <c r="G85" i="2" s="1"/>
  <c r="G87" i="2" s="1"/>
  <c r="F81" i="2"/>
  <c r="F85" i="2" s="1"/>
  <c r="E81" i="2"/>
  <c r="E85" i="2" s="1"/>
  <c r="E87" i="2" s="1"/>
  <c r="D81" i="2"/>
  <c r="D85" i="2" s="1"/>
  <c r="D87" i="2" s="1"/>
  <c r="D94" i="2" s="1"/>
  <c r="D104" i="2" s="1"/>
  <c r="C81" i="2"/>
  <c r="B81" i="2"/>
  <c r="AD80" i="2"/>
  <c r="AC80" i="2"/>
  <c r="Y80" i="2"/>
  <c r="T80" i="2"/>
  <c r="AE80" i="2" s="1"/>
  <c r="S80" i="2"/>
  <c r="R80" i="2"/>
  <c r="Q80" i="2"/>
  <c r="AB80" i="2" s="1"/>
  <c r="P80" i="2"/>
  <c r="AA80" i="2" s="1"/>
  <c r="O80" i="2"/>
  <c r="Z80" i="2" s="1"/>
  <c r="M80" i="2"/>
  <c r="X80" i="2" s="1"/>
  <c r="J80" i="2"/>
  <c r="AC79" i="2"/>
  <c r="AB79" i="2"/>
  <c r="Z79" i="2"/>
  <c r="X79" i="2"/>
  <c r="T79" i="2"/>
  <c r="AE79" i="2" s="1"/>
  <c r="S79" i="2"/>
  <c r="AD79" i="2" s="1"/>
  <c r="R79" i="2"/>
  <c r="Q79" i="2"/>
  <c r="P79" i="2"/>
  <c r="AA79" i="2" s="1"/>
  <c r="O79" i="2"/>
  <c r="J79" i="2"/>
  <c r="AE78" i="2"/>
  <c r="AB78" i="2"/>
  <c r="AA78" i="2"/>
  <c r="T78" i="2"/>
  <c r="S78" i="2"/>
  <c r="AD78" i="2" s="1"/>
  <c r="R78" i="2"/>
  <c r="AC78" i="2" s="1"/>
  <c r="Q78" i="2"/>
  <c r="P78" i="2"/>
  <c r="O78" i="2"/>
  <c r="Z78" i="2" s="1"/>
  <c r="M78" i="2"/>
  <c r="X78" i="2" s="1"/>
  <c r="J78" i="2"/>
  <c r="AD77" i="2"/>
  <c r="AB77" i="2"/>
  <c r="Z77" i="2"/>
  <c r="T77" i="2"/>
  <c r="AE77" i="2" s="1"/>
  <c r="S77" i="2"/>
  <c r="R77" i="2"/>
  <c r="AC77" i="2" s="1"/>
  <c r="Q77" i="2"/>
  <c r="P77" i="2"/>
  <c r="AA77" i="2" s="1"/>
  <c r="O77" i="2"/>
  <c r="N77" i="2"/>
  <c r="Y77" i="2" s="1"/>
  <c r="M77" i="2"/>
  <c r="X77" i="2" s="1"/>
  <c r="J77" i="2"/>
  <c r="AD76" i="2"/>
  <c r="AC76" i="2"/>
  <c r="AA76" i="2"/>
  <c r="T76" i="2"/>
  <c r="AE76" i="2" s="1"/>
  <c r="S76" i="2"/>
  <c r="R76" i="2"/>
  <c r="Q76" i="2"/>
  <c r="AB76" i="2" s="1"/>
  <c r="P76" i="2"/>
  <c r="O76" i="2"/>
  <c r="Z76" i="2" s="1"/>
  <c r="M76" i="2"/>
  <c r="X76" i="2" s="1"/>
  <c r="J76" i="2"/>
  <c r="AC75" i="2"/>
  <c r="AB75" i="2"/>
  <c r="Z75" i="2"/>
  <c r="T75" i="2"/>
  <c r="AE75" i="2" s="1"/>
  <c r="S75" i="2"/>
  <c r="AD75" i="2" s="1"/>
  <c r="R75" i="2"/>
  <c r="Q75" i="2"/>
  <c r="P75" i="2"/>
  <c r="AA75" i="2" s="1"/>
  <c r="O75" i="2"/>
  <c r="J75" i="2"/>
  <c r="AE74" i="2"/>
  <c r="AA74" i="2"/>
  <c r="T74" i="2"/>
  <c r="S74" i="2"/>
  <c r="AD74" i="2" s="1"/>
  <c r="R74" i="2"/>
  <c r="AC74" i="2" s="1"/>
  <c r="Q74" i="2"/>
  <c r="AB74" i="2" s="1"/>
  <c r="P74" i="2"/>
  <c r="O74" i="2"/>
  <c r="Z74" i="2" s="1"/>
  <c r="M74" i="2"/>
  <c r="X74" i="2" s="1"/>
  <c r="J74" i="2"/>
  <c r="AA73" i="2"/>
  <c r="T73" i="2"/>
  <c r="AE73" i="2" s="1"/>
  <c r="Q73" i="2"/>
  <c r="AB73" i="2" s="1"/>
  <c r="P73" i="2"/>
  <c r="I73" i="2"/>
  <c r="H73" i="2"/>
  <c r="G73" i="2"/>
  <c r="F73" i="2"/>
  <c r="E73" i="2"/>
  <c r="D73" i="2"/>
  <c r="C73" i="2"/>
  <c r="B73" i="2"/>
  <c r="AE72" i="2"/>
  <c r="AC72" i="2"/>
  <c r="AA72" i="2"/>
  <c r="Z72" i="2"/>
  <c r="T72" i="2"/>
  <c r="S72" i="2"/>
  <c r="AD72" i="2" s="1"/>
  <c r="R72" i="2"/>
  <c r="Q72" i="2"/>
  <c r="AB72" i="2" s="1"/>
  <c r="P72" i="2"/>
  <c r="O72" i="2"/>
  <c r="M72" i="2"/>
  <c r="X72" i="2" s="1"/>
  <c r="J72" i="2"/>
  <c r="AD71" i="2"/>
  <c r="AC71" i="2"/>
  <c r="AB71" i="2"/>
  <c r="T71" i="2"/>
  <c r="AE71" i="2" s="1"/>
  <c r="S71" i="2"/>
  <c r="R71" i="2"/>
  <c r="Q71" i="2"/>
  <c r="P71" i="2"/>
  <c r="AA71" i="2" s="1"/>
  <c r="O71" i="2"/>
  <c r="Z71" i="2" s="1"/>
  <c r="N71" i="2"/>
  <c r="Y71" i="2" s="1"/>
  <c r="J71" i="2"/>
  <c r="J73" i="2" s="1"/>
  <c r="AE70" i="2"/>
  <c r="AA70" i="2"/>
  <c r="T70" i="2"/>
  <c r="S70" i="2"/>
  <c r="AD70" i="2" s="1"/>
  <c r="R70" i="2"/>
  <c r="AC70" i="2" s="1"/>
  <c r="Q70" i="2"/>
  <c r="AB70" i="2" s="1"/>
  <c r="P70" i="2"/>
  <c r="O70" i="2"/>
  <c r="Z70" i="2" s="1"/>
  <c r="M70" i="2"/>
  <c r="X70" i="2" s="1"/>
  <c r="J70" i="2"/>
  <c r="T69" i="2"/>
  <c r="AE69" i="2" s="1"/>
  <c r="R69" i="2"/>
  <c r="AC69" i="2" s="1"/>
  <c r="I69" i="2"/>
  <c r="H69" i="2"/>
  <c r="G69" i="2"/>
  <c r="F69" i="2"/>
  <c r="E69" i="2"/>
  <c r="D69" i="2"/>
  <c r="C69" i="2"/>
  <c r="B69" i="2"/>
  <c r="J69" i="2" s="1"/>
  <c r="AD68" i="2"/>
  <c r="AC68" i="2"/>
  <c r="AA68" i="2"/>
  <c r="T68" i="2"/>
  <c r="AE68" i="2" s="1"/>
  <c r="S68" i="2"/>
  <c r="R68" i="2"/>
  <c r="Q68" i="2"/>
  <c r="AB68" i="2" s="1"/>
  <c r="P68" i="2"/>
  <c r="O68" i="2"/>
  <c r="Z68" i="2" s="1"/>
  <c r="M68" i="2"/>
  <c r="X68" i="2" s="1"/>
  <c r="J68" i="2"/>
  <c r="AC67" i="2"/>
  <c r="AB67" i="2"/>
  <c r="T67" i="2"/>
  <c r="AE67" i="2" s="1"/>
  <c r="S67" i="2"/>
  <c r="AD67" i="2" s="1"/>
  <c r="R67" i="2"/>
  <c r="Q67" i="2"/>
  <c r="P67" i="2"/>
  <c r="AA67" i="2" s="1"/>
  <c r="O67" i="2"/>
  <c r="Z67" i="2" s="1"/>
  <c r="J67" i="2"/>
  <c r="AE66" i="2"/>
  <c r="AB66" i="2"/>
  <c r="AA66" i="2"/>
  <c r="T66" i="2"/>
  <c r="S66" i="2"/>
  <c r="AD66" i="2" s="1"/>
  <c r="R66" i="2"/>
  <c r="AC66" i="2" s="1"/>
  <c r="Q66" i="2"/>
  <c r="P66" i="2"/>
  <c r="O66" i="2"/>
  <c r="Z66" i="2" s="1"/>
  <c r="J66" i="2"/>
  <c r="AF65" i="2"/>
  <c r="AD65" i="2"/>
  <c r="Z65" i="2"/>
  <c r="T65" i="2"/>
  <c r="AE65" i="2" s="1"/>
  <c r="S65" i="2"/>
  <c r="R65" i="2"/>
  <c r="AC65" i="2" s="1"/>
  <c r="Q65" i="2"/>
  <c r="AB65" i="2" s="1"/>
  <c r="P65" i="2"/>
  <c r="AA65" i="2" s="1"/>
  <c r="O65" i="2"/>
  <c r="N65" i="2"/>
  <c r="Y65" i="2" s="1"/>
  <c r="J65" i="2"/>
  <c r="AD64" i="2"/>
  <c r="AC64" i="2"/>
  <c r="AA64" i="2"/>
  <c r="T64" i="2"/>
  <c r="AE64" i="2" s="1"/>
  <c r="S64" i="2"/>
  <c r="R64" i="2"/>
  <c r="Q64" i="2"/>
  <c r="AB64" i="2" s="1"/>
  <c r="P64" i="2"/>
  <c r="O64" i="2"/>
  <c r="Z64" i="2" s="1"/>
  <c r="M64" i="2"/>
  <c r="X64" i="2" s="1"/>
  <c r="J64" i="2"/>
  <c r="AC63" i="2"/>
  <c r="AB63" i="2"/>
  <c r="Z63" i="2"/>
  <c r="T63" i="2"/>
  <c r="AE63" i="2" s="1"/>
  <c r="S63" i="2"/>
  <c r="AD63" i="2" s="1"/>
  <c r="R63" i="2"/>
  <c r="Q63" i="2"/>
  <c r="P63" i="2"/>
  <c r="AA63" i="2" s="1"/>
  <c r="O63" i="2"/>
  <c r="J63" i="2"/>
  <c r="AE62" i="2"/>
  <c r="AB62" i="2"/>
  <c r="AA62" i="2"/>
  <c r="T62" i="2"/>
  <c r="S62" i="2"/>
  <c r="AD62" i="2" s="1"/>
  <c r="R62" i="2"/>
  <c r="AC62" i="2" s="1"/>
  <c r="Q62" i="2"/>
  <c r="P62" i="2"/>
  <c r="O62" i="2"/>
  <c r="Z62" i="2" s="1"/>
  <c r="J62" i="2"/>
  <c r="A58" i="2"/>
  <c r="B51" i="2"/>
  <c r="J50" i="2"/>
  <c r="U100" i="2" s="1"/>
  <c r="AF100" i="2" s="1"/>
  <c r="C49" i="2"/>
  <c r="B49" i="2"/>
  <c r="J49" i="2" s="1"/>
  <c r="U99" i="2" s="1"/>
  <c r="AF99" i="2" s="1"/>
  <c r="C48" i="2"/>
  <c r="B48" i="2"/>
  <c r="M98" i="2" s="1"/>
  <c r="X98" i="2" s="1"/>
  <c r="J47" i="2"/>
  <c r="C47" i="2"/>
  <c r="B47" i="2"/>
  <c r="M97" i="2" s="1"/>
  <c r="I43" i="2"/>
  <c r="H43" i="2"/>
  <c r="G43" i="2"/>
  <c r="F43" i="2"/>
  <c r="E43" i="2"/>
  <c r="D43" i="2"/>
  <c r="C42" i="2"/>
  <c r="B42" i="2"/>
  <c r="C41" i="2"/>
  <c r="B41" i="2"/>
  <c r="C40" i="2"/>
  <c r="N140" i="2" s="1"/>
  <c r="Y140" i="2" s="1"/>
  <c r="B40" i="2"/>
  <c r="B39" i="2"/>
  <c r="C36" i="2"/>
  <c r="B36" i="2"/>
  <c r="H35" i="2"/>
  <c r="E35" i="2"/>
  <c r="I34" i="2"/>
  <c r="T84" i="2" s="1"/>
  <c r="AE84" i="2" s="1"/>
  <c r="H34" i="2"/>
  <c r="S134" i="2" s="1"/>
  <c r="AD134" i="2" s="1"/>
  <c r="G34" i="2"/>
  <c r="F34" i="2"/>
  <c r="E34" i="2"/>
  <c r="P134" i="2" s="1"/>
  <c r="AA134" i="2" s="1"/>
  <c r="D34" i="2"/>
  <c r="B34" i="2"/>
  <c r="J33" i="2"/>
  <c r="U83" i="2" s="1"/>
  <c r="C33" i="2"/>
  <c r="B33" i="2"/>
  <c r="M83" i="2" s="1"/>
  <c r="X83" i="2" s="1"/>
  <c r="C32" i="2"/>
  <c r="B32" i="2"/>
  <c r="I31" i="2"/>
  <c r="H31" i="2"/>
  <c r="G31" i="2"/>
  <c r="F31" i="2"/>
  <c r="E31" i="2"/>
  <c r="P131" i="2" s="1"/>
  <c r="AA131" i="2" s="1"/>
  <c r="D31" i="2"/>
  <c r="J30" i="2"/>
  <c r="C30" i="2"/>
  <c r="N80" i="2" s="1"/>
  <c r="B30" i="2"/>
  <c r="C29" i="2"/>
  <c r="B29" i="2"/>
  <c r="M79" i="2" s="1"/>
  <c r="C28" i="2"/>
  <c r="B28" i="2"/>
  <c r="J28" i="2" s="1"/>
  <c r="J27" i="2"/>
  <c r="C27" i="2"/>
  <c r="B27" i="2"/>
  <c r="M127" i="2" s="1"/>
  <c r="X127" i="2" s="1"/>
  <c r="C26" i="2"/>
  <c r="B26" i="2"/>
  <c r="C25" i="2"/>
  <c r="B25" i="2"/>
  <c r="C24" i="2"/>
  <c r="B24" i="2"/>
  <c r="I23" i="2"/>
  <c r="H23" i="2"/>
  <c r="G23" i="2"/>
  <c r="F23" i="2"/>
  <c r="E23" i="2"/>
  <c r="D23" i="2"/>
  <c r="C22" i="2"/>
  <c r="B22" i="2"/>
  <c r="C21" i="2"/>
  <c r="B21" i="2"/>
  <c r="C20" i="2"/>
  <c r="N70" i="2" s="1"/>
  <c r="Y70" i="2" s="1"/>
  <c r="B20" i="2"/>
  <c r="I19" i="2"/>
  <c r="T119" i="2" s="1"/>
  <c r="AE119" i="2" s="1"/>
  <c r="H19" i="2"/>
  <c r="G19" i="2"/>
  <c r="F19" i="2"/>
  <c r="Q119" i="2" s="1"/>
  <c r="AB119" i="2" s="1"/>
  <c r="E19" i="2"/>
  <c r="P69" i="2" s="1"/>
  <c r="AA69" i="2" s="1"/>
  <c r="D19" i="2"/>
  <c r="J18" i="2"/>
  <c r="U68" i="2" s="1"/>
  <c r="AF68" i="2" s="1"/>
  <c r="C18" i="2"/>
  <c r="B18" i="2"/>
  <c r="C17" i="2"/>
  <c r="N67" i="2" s="1"/>
  <c r="Y67" i="2" s="1"/>
  <c r="B17" i="2"/>
  <c r="C16" i="2"/>
  <c r="N66" i="2" s="1"/>
  <c r="Y66" i="2" s="1"/>
  <c r="B16" i="2"/>
  <c r="J15" i="2"/>
  <c r="U65" i="2" s="1"/>
  <c r="C15" i="2"/>
  <c r="B15" i="2"/>
  <c r="M65" i="2" s="1"/>
  <c r="X65" i="2" s="1"/>
  <c r="C14" i="2"/>
  <c r="B14" i="2"/>
  <c r="C13" i="2"/>
  <c r="B13" i="2"/>
  <c r="B19" i="2" s="1"/>
  <c r="C12" i="2"/>
  <c r="N112" i="2" s="1"/>
  <c r="Y112" i="2" s="1"/>
  <c r="B12" i="2"/>
  <c r="J12" i="2" s="1"/>
  <c r="A8" i="2"/>
  <c r="A3" i="2"/>
  <c r="A2" i="2"/>
  <c r="A1" i="2"/>
  <c r="N76" i="2" l="1"/>
  <c r="Y76" i="2" s="1"/>
  <c r="N126" i="2"/>
  <c r="Y126" i="2" s="1"/>
  <c r="J26" i="2"/>
  <c r="M91" i="2"/>
  <c r="X91" i="2" s="1"/>
  <c r="J41" i="2"/>
  <c r="U80" i="2"/>
  <c r="AF80" i="2" s="1"/>
  <c r="P85" i="2"/>
  <c r="AA85" i="2" s="1"/>
  <c r="E37" i="2"/>
  <c r="U97" i="2"/>
  <c r="AF97" i="2" s="1"/>
  <c r="M119" i="2"/>
  <c r="X119" i="2" s="1"/>
  <c r="M69" i="2"/>
  <c r="X69" i="2" s="1"/>
  <c r="N79" i="2"/>
  <c r="Y79" i="2" s="1"/>
  <c r="N129" i="2"/>
  <c r="Y129" i="2" s="1"/>
  <c r="J29" i="2"/>
  <c r="N92" i="2"/>
  <c r="Y92" i="2" s="1"/>
  <c r="N142" i="2"/>
  <c r="Y142" i="2" s="1"/>
  <c r="U77" i="2"/>
  <c r="AF77" i="2" s="1"/>
  <c r="J81" i="2"/>
  <c r="F87" i="2"/>
  <c r="B87" i="2"/>
  <c r="J87" i="2" s="1"/>
  <c r="J94" i="2" s="1"/>
  <c r="F94" i="2"/>
  <c r="F104" i="2" s="1"/>
  <c r="Q93" i="2"/>
  <c r="AB93" i="2" s="1"/>
  <c r="N72" i="2"/>
  <c r="Y72" i="2" s="1"/>
  <c r="N122" i="2"/>
  <c r="Y122" i="2" s="1"/>
  <c r="C23" i="2"/>
  <c r="M121" i="2"/>
  <c r="X121" i="2" s="1"/>
  <c r="M71" i="2"/>
  <c r="X71" i="2" s="1"/>
  <c r="J21" i="2"/>
  <c r="B23" i="2"/>
  <c r="M75" i="2"/>
  <c r="X75" i="2" s="1"/>
  <c r="M125" i="2"/>
  <c r="X125" i="2" s="1"/>
  <c r="B31" i="2"/>
  <c r="J25" i="2"/>
  <c r="Q131" i="2"/>
  <c r="AB131" i="2" s="1"/>
  <c r="Q81" i="2"/>
  <c r="AB81" i="2" s="1"/>
  <c r="N75" i="2"/>
  <c r="Y75" i="2" s="1"/>
  <c r="J85" i="2"/>
  <c r="G94" i="2"/>
  <c r="G104" i="2" s="1"/>
  <c r="N63" i="2"/>
  <c r="Y63" i="2" s="1"/>
  <c r="N113" i="2"/>
  <c r="Y113" i="2" s="1"/>
  <c r="J16" i="2"/>
  <c r="R73" i="2"/>
  <c r="AC73" i="2" s="1"/>
  <c r="N78" i="2"/>
  <c r="Y78" i="2" s="1"/>
  <c r="N128" i="2"/>
  <c r="Y128" i="2" s="1"/>
  <c r="O81" i="2"/>
  <c r="Z81" i="2" s="1"/>
  <c r="S81" i="2"/>
  <c r="AD81" i="2" s="1"/>
  <c r="J32" i="2"/>
  <c r="I35" i="2"/>
  <c r="D36" i="2"/>
  <c r="B43" i="2"/>
  <c r="O143" i="2"/>
  <c r="Z143" i="2" s="1"/>
  <c r="O93" i="2"/>
  <c r="Z93" i="2" s="1"/>
  <c r="S93" i="2"/>
  <c r="AD93" i="2" s="1"/>
  <c r="S143" i="2"/>
  <c r="AD143" i="2" s="1"/>
  <c r="J51" i="2"/>
  <c r="U101" i="2" s="1"/>
  <c r="AF101" i="2" s="1"/>
  <c r="M101" i="2"/>
  <c r="X101" i="2" s="1"/>
  <c r="U62" i="2"/>
  <c r="AF62" i="2" s="1"/>
  <c r="M66" i="2"/>
  <c r="X66" i="2" s="1"/>
  <c r="M89" i="2"/>
  <c r="X89" i="2" s="1"/>
  <c r="N90" i="2"/>
  <c r="Y90" i="2" s="1"/>
  <c r="M99" i="2"/>
  <c r="X99" i="2" s="1"/>
  <c r="I185" i="2"/>
  <c r="T184" i="2"/>
  <c r="I143" i="2" s="1"/>
  <c r="T143" i="2" s="1"/>
  <c r="AE143" i="2" s="1"/>
  <c r="M113" i="2"/>
  <c r="X113" i="2" s="1"/>
  <c r="M63" i="2"/>
  <c r="X63" i="2" s="1"/>
  <c r="N114" i="2"/>
  <c r="Y114" i="2" s="1"/>
  <c r="N64" i="2"/>
  <c r="Y64" i="2" s="1"/>
  <c r="T134" i="2"/>
  <c r="AE134" i="2" s="1"/>
  <c r="S85" i="2"/>
  <c r="AD85" i="2" s="1"/>
  <c r="H37" i="2"/>
  <c r="R143" i="2"/>
  <c r="AC143" i="2" s="1"/>
  <c r="J14" i="2"/>
  <c r="J17" i="2"/>
  <c r="J24" i="2"/>
  <c r="J13" i="2"/>
  <c r="O69" i="2"/>
  <c r="Z69" i="2" s="1"/>
  <c r="S69" i="2"/>
  <c r="AD69" i="2" s="1"/>
  <c r="N120" i="2"/>
  <c r="Y120" i="2" s="1"/>
  <c r="J20" i="2"/>
  <c r="C34" i="2"/>
  <c r="R84" i="2"/>
  <c r="AC84" i="2" s="1"/>
  <c r="G35" i="2"/>
  <c r="R134" i="2"/>
  <c r="AC134" i="2" s="1"/>
  <c r="D35" i="2"/>
  <c r="C39" i="2"/>
  <c r="J40" i="2"/>
  <c r="J42" i="2"/>
  <c r="M92" i="2"/>
  <c r="X92" i="2" s="1"/>
  <c r="B52" i="2"/>
  <c r="M102" i="2" s="1"/>
  <c r="X102" i="2" s="1"/>
  <c r="M62" i="2"/>
  <c r="X62" i="2" s="1"/>
  <c r="Q69" i="2"/>
  <c r="AB69" i="2" s="1"/>
  <c r="U78" i="2"/>
  <c r="AF78" i="2" s="1"/>
  <c r="D178" i="2"/>
  <c r="D185" i="2" s="1"/>
  <c r="O185" i="2" s="1"/>
  <c r="H178" i="2"/>
  <c r="S178" i="2" s="1"/>
  <c r="G178" i="2"/>
  <c r="E178" i="2"/>
  <c r="P178" i="2" s="1"/>
  <c r="P176" i="2"/>
  <c r="E135" i="2" s="1"/>
  <c r="P135" i="2" s="1"/>
  <c r="AA135" i="2" s="1"/>
  <c r="N178" i="2"/>
  <c r="C137" i="2" s="1"/>
  <c r="C144" i="2" s="1"/>
  <c r="C19" i="2"/>
  <c r="M117" i="2"/>
  <c r="X117" i="2" s="1"/>
  <c r="M67" i="2"/>
  <c r="X67" i="2" s="1"/>
  <c r="N118" i="2"/>
  <c r="Y118" i="2" s="1"/>
  <c r="N68" i="2"/>
  <c r="Y68" i="2" s="1"/>
  <c r="J22" i="2"/>
  <c r="O73" i="2"/>
  <c r="Z73" i="2" s="1"/>
  <c r="S73" i="2"/>
  <c r="AD73" i="2" s="1"/>
  <c r="C31" i="2"/>
  <c r="T131" i="2"/>
  <c r="AE131" i="2" s="1"/>
  <c r="F35" i="2"/>
  <c r="N98" i="2"/>
  <c r="Y98" i="2" s="1"/>
  <c r="D48" i="2"/>
  <c r="C52" i="2"/>
  <c r="N102" i="2" s="1"/>
  <c r="Y102" i="2" s="1"/>
  <c r="N62" i="2"/>
  <c r="Y62" i="2" s="1"/>
  <c r="N74" i="2"/>
  <c r="Y74" i="2" s="1"/>
  <c r="P81" i="2"/>
  <c r="AA81" i="2" s="1"/>
  <c r="Q84" i="2"/>
  <c r="AB84" i="2" s="1"/>
  <c r="B119" i="2"/>
  <c r="M129" i="2"/>
  <c r="X129" i="2" s="1"/>
  <c r="N130" i="2"/>
  <c r="Y130" i="2" s="1"/>
  <c r="N160" i="2"/>
  <c r="C119" i="2" s="1"/>
  <c r="E123" i="2"/>
  <c r="P123" i="2" s="1"/>
  <c r="AA123" i="2" s="1"/>
  <c r="J172" i="2"/>
  <c r="J175" i="2"/>
  <c r="J176" i="2" s="1"/>
  <c r="J178" i="2" s="1"/>
  <c r="F176" i="2"/>
  <c r="T176" i="2"/>
  <c r="I135" i="2" s="1"/>
  <c r="O231" i="2"/>
  <c r="G231" i="2"/>
  <c r="G233" i="2" s="1"/>
  <c r="P231" i="2"/>
  <c r="O72" i="3"/>
  <c r="O43" i="3"/>
  <c r="AA72" i="3"/>
  <c r="AB88" i="3"/>
  <c r="P88" i="3"/>
  <c r="P49" i="3"/>
  <c r="AB49" i="3"/>
  <c r="W50" i="3"/>
  <c r="AB52" i="3"/>
  <c r="W76" i="3"/>
  <c r="AB81" i="3"/>
  <c r="C41" i="5"/>
  <c r="N48" i="5"/>
  <c r="Y48" i="5" s="1"/>
  <c r="U49" i="5"/>
  <c r="AF49" i="5" s="1"/>
  <c r="M56" i="5"/>
  <c r="X56" i="5" s="1"/>
  <c r="J68" i="5"/>
  <c r="M81" i="5"/>
  <c r="X81" i="5" s="1"/>
  <c r="M75" i="5"/>
  <c r="X75" i="5" s="1"/>
  <c r="C15" i="6"/>
  <c r="J184" i="2"/>
  <c r="J185" i="2" s="1"/>
  <c r="D233" i="2"/>
  <c r="AB43" i="3"/>
  <c r="P43" i="3"/>
  <c r="K15" i="3"/>
  <c r="K19" i="3"/>
  <c r="AA48" i="3"/>
  <c r="K20" i="3"/>
  <c r="AA80" i="3"/>
  <c r="O80" i="3"/>
  <c r="AA51" i="3"/>
  <c r="K22" i="3"/>
  <c r="AA82" i="3"/>
  <c r="O53" i="3"/>
  <c r="P54" i="3"/>
  <c r="K25" i="3"/>
  <c r="AA92" i="3"/>
  <c r="O63" i="3"/>
  <c r="O51" i="3"/>
  <c r="AB58" i="3"/>
  <c r="P59" i="3"/>
  <c r="AB59" i="3"/>
  <c r="AB72" i="3"/>
  <c r="O76" i="3"/>
  <c r="P77" i="3"/>
  <c r="AA77" i="3"/>
  <c r="W79" i="3"/>
  <c r="AI79" i="3"/>
  <c r="W86" i="3"/>
  <c r="C15" i="4"/>
  <c r="J39" i="5"/>
  <c r="H14" i="6"/>
  <c r="D14" i="6"/>
  <c r="G14" i="6"/>
  <c r="B14" i="6"/>
  <c r="F14" i="6"/>
  <c r="E14" i="6"/>
  <c r="H40" i="6"/>
  <c r="M199" i="2"/>
  <c r="T231" i="2"/>
  <c r="K13" i="3"/>
  <c r="O71" i="3"/>
  <c r="K14" i="3"/>
  <c r="AB87" i="3"/>
  <c r="P58" i="3"/>
  <c r="P60" i="3"/>
  <c r="AB89" i="3"/>
  <c r="P89" i="3"/>
  <c r="AI90" i="3"/>
  <c r="W90" i="3"/>
  <c r="AB92" i="3"/>
  <c r="P92" i="3"/>
  <c r="AB63" i="3"/>
  <c r="P63" i="3"/>
  <c r="AA42" i="3"/>
  <c r="AA43" i="3"/>
  <c r="AB44" i="3"/>
  <c r="O47" i="3"/>
  <c r="W47" i="3"/>
  <c r="AI47" i="3"/>
  <c r="AB60" i="3"/>
  <c r="W61" i="3"/>
  <c r="AB77" i="3"/>
  <c r="AB78" i="3"/>
  <c r="P83" i="3"/>
  <c r="AB83" i="3"/>
  <c r="O86" i="3"/>
  <c r="B40" i="4"/>
  <c r="L48" i="4" s="1"/>
  <c r="L47" i="4"/>
  <c r="I15" i="6"/>
  <c r="V29" i="6" s="1"/>
  <c r="B40" i="6"/>
  <c r="Q197" i="2"/>
  <c r="Q215" i="2" s="1"/>
  <c r="Q218" i="2" s="1"/>
  <c r="F123" i="2" s="1"/>
  <c r="Q123" i="2" s="1"/>
  <c r="AB123" i="2" s="1"/>
  <c r="M197" i="2"/>
  <c r="S196" i="2"/>
  <c r="O196" i="2"/>
  <c r="Q195" i="2"/>
  <c r="M195" i="2"/>
  <c r="S194" i="2"/>
  <c r="O194" i="2"/>
  <c r="U194" i="2" s="1"/>
  <c r="Q193" i="2"/>
  <c r="Q199" i="2" s="1"/>
  <c r="M193" i="2"/>
  <c r="S192" i="2"/>
  <c r="O192" i="2"/>
  <c r="L188" i="2"/>
  <c r="Q184" i="2"/>
  <c r="F143" i="2" s="1"/>
  <c r="M184" i="2"/>
  <c r="B143" i="2" s="1"/>
  <c r="S183" i="2"/>
  <c r="H142" i="2" s="1"/>
  <c r="S142" i="2" s="1"/>
  <c r="AD142" i="2" s="1"/>
  <c r="O183" i="2"/>
  <c r="D142" i="2" s="1"/>
  <c r="O142" i="2" s="1"/>
  <c r="Z142" i="2" s="1"/>
  <c r="Q182" i="2"/>
  <c r="F141" i="2" s="1"/>
  <c r="Q141" i="2" s="1"/>
  <c r="AB141" i="2" s="1"/>
  <c r="M182" i="2"/>
  <c r="S181" i="2"/>
  <c r="H140" i="2" s="1"/>
  <c r="S140" i="2" s="1"/>
  <c r="AD140" i="2" s="1"/>
  <c r="O181" i="2"/>
  <c r="D140" i="2" s="1"/>
  <c r="O140" i="2" s="1"/>
  <c r="Z140" i="2" s="1"/>
  <c r="Q180" i="2"/>
  <c r="F139" i="2" s="1"/>
  <c r="Q139" i="2" s="1"/>
  <c r="AB139" i="2" s="1"/>
  <c r="M180" i="2"/>
  <c r="R179" i="2"/>
  <c r="G138" i="2" s="1"/>
  <c r="AC138" i="2" s="1"/>
  <c r="N179" i="2"/>
  <c r="C138" i="2" s="1"/>
  <c r="Y138" i="2" s="1"/>
  <c r="O178" i="2"/>
  <c r="D137" i="2" s="1"/>
  <c r="D144" i="2" s="1"/>
  <c r="L203" i="2"/>
  <c r="R197" i="2"/>
  <c r="R215" i="2" s="1"/>
  <c r="Q196" i="2"/>
  <c r="P195" i="2"/>
  <c r="P194" i="2"/>
  <c r="T193" i="2"/>
  <c r="O193" i="2"/>
  <c r="T192" i="2"/>
  <c r="T199" i="2" s="1"/>
  <c r="N192" i="2"/>
  <c r="R184" i="2"/>
  <c r="G143" i="2" s="1"/>
  <c r="Q183" i="2"/>
  <c r="F142" i="2" s="1"/>
  <c r="Q142" i="2" s="1"/>
  <c r="AB142" i="2" s="1"/>
  <c r="P182" i="2"/>
  <c r="E141" i="2" s="1"/>
  <c r="P141" i="2" s="1"/>
  <c r="AA141" i="2" s="1"/>
  <c r="P181" i="2"/>
  <c r="E140" i="2" s="1"/>
  <c r="P140" i="2" s="1"/>
  <c r="AA140" i="2" s="1"/>
  <c r="T180" i="2"/>
  <c r="I139" i="2" s="1"/>
  <c r="T139" i="2" s="1"/>
  <c r="AE139" i="2" s="1"/>
  <c r="O180" i="2"/>
  <c r="D139" i="2" s="1"/>
  <c r="O139" i="2" s="1"/>
  <c r="Z139" i="2" s="1"/>
  <c r="S179" i="2"/>
  <c r="H138" i="2" s="1"/>
  <c r="AD138" i="2" s="1"/>
  <c r="M179" i="2"/>
  <c r="B138" i="2" s="1"/>
  <c r="X138" i="2" s="1"/>
  <c r="Q177" i="2"/>
  <c r="F136" i="2" s="1"/>
  <c r="M177" i="2"/>
  <c r="S176" i="2"/>
  <c r="H135" i="2" s="1"/>
  <c r="S135" i="2" s="1"/>
  <c r="AD135" i="2" s="1"/>
  <c r="O176" i="2"/>
  <c r="D135" i="2" s="1"/>
  <c r="Q175" i="2"/>
  <c r="F134" i="2" s="1"/>
  <c r="Q134" i="2" s="1"/>
  <c r="AB134" i="2" s="1"/>
  <c r="M175" i="2"/>
  <c r="S174" i="2"/>
  <c r="H133" i="2" s="1"/>
  <c r="S133" i="2" s="1"/>
  <c r="AD133" i="2" s="1"/>
  <c r="O174" i="2"/>
  <c r="D133" i="2" s="1"/>
  <c r="O133" i="2" s="1"/>
  <c r="Z133" i="2" s="1"/>
  <c r="Q173" i="2"/>
  <c r="F132" i="2" s="1"/>
  <c r="Q132" i="2" s="1"/>
  <c r="AB132" i="2" s="1"/>
  <c r="M173" i="2"/>
  <c r="S172" i="2"/>
  <c r="H131" i="2" s="1"/>
  <c r="S131" i="2" s="1"/>
  <c r="AD131" i="2" s="1"/>
  <c r="O172" i="2"/>
  <c r="D131" i="2" s="1"/>
  <c r="O131" i="2" s="1"/>
  <c r="Z131" i="2" s="1"/>
  <c r="Q171" i="2"/>
  <c r="F130" i="2" s="1"/>
  <c r="Q130" i="2" s="1"/>
  <c r="AB130" i="2" s="1"/>
  <c r="M171" i="2"/>
  <c r="S170" i="2"/>
  <c r="H129" i="2" s="1"/>
  <c r="S129" i="2" s="1"/>
  <c r="AD129" i="2" s="1"/>
  <c r="O170" i="2"/>
  <c r="Q169" i="2"/>
  <c r="F128" i="2" s="1"/>
  <c r="Q128" i="2" s="1"/>
  <c r="AB128" i="2" s="1"/>
  <c r="M169" i="2"/>
  <c r="S168" i="2"/>
  <c r="H127" i="2" s="1"/>
  <c r="S127" i="2" s="1"/>
  <c r="AD127" i="2" s="1"/>
  <c r="O168" i="2"/>
  <c r="D127" i="2" s="1"/>
  <c r="Q167" i="2"/>
  <c r="F126" i="2" s="1"/>
  <c r="Q126" i="2" s="1"/>
  <c r="AB126" i="2" s="1"/>
  <c r="M167" i="2"/>
  <c r="S166" i="2"/>
  <c r="H125" i="2" s="1"/>
  <c r="S125" i="2" s="1"/>
  <c r="AD125" i="2" s="1"/>
  <c r="O166" i="2"/>
  <c r="D125" i="2" s="1"/>
  <c r="O125" i="2" s="1"/>
  <c r="Z125" i="2" s="1"/>
  <c r="Q165" i="2"/>
  <c r="F124" i="2" s="1"/>
  <c r="Q124" i="2" s="1"/>
  <c r="AB124" i="2" s="1"/>
  <c r="M165" i="2"/>
  <c r="S164" i="2"/>
  <c r="O164" i="2"/>
  <c r="D123" i="2" s="1"/>
  <c r="O123" i="2" s="1"/>
  <c r="Z123" i="2" s="1"/>
  <c r="Q163" i="2"/>
  <c r="F122" i="2" s="1"/>
  <c r="Q122" i="2" s="1"/>
  <c r="AB122" i="2" s="1"/>
  <c r="M163" i="2"/>
  <c r="S162" i="2"/>
  <c r="H121" i="2" s="1"/>
  <c r="S121" i="2" s="1"/>
  <c r="AD121" i="2" s="1"/>
  <c r="O162" i="2"/>
  <c r="Q161" i="2"/>
  <c r="F120" i="2" s="1"/>
  <c r="Q120" i="2" s="1"/>
  <c r="AB120" i="2" s="1"/>
  <c r="M161" i="2"/>
  <c r="S160" i="2"/>
  <c r="H119" i="2" s="1"/>
  <c r="S119" i="2" s="1"/>
  <c r="AD119" i="2" s="1"/>
  <c r="O160" i="2"/>
  <c r="D119" i="2" s="1"/>
  <c r="O119" i="2" s="1"/>
  <c r="Z119" i="2" s="1"/>
  <c r="Q159" i="2"/>
  <c r="F118" i="2" s="1"/>
  <c r="Q118" i="2" s="1"/>
  <c r="AB118" i="2" s="1"/>
  <c r="M159" i="2"/>
  <c r="S158" i="2"/>
  <c r="H117" i="2" s="1"/>
  <c r="S117" i="2" s="1"/>
  <c r="AD117" i="2" s="1"/>
  <c r="O158" i="2"/>
  <c r="D117" i="2" s="1"/>
  <c r="O117" i="2" s="1"/>
  <c r="Z117" i="2" s="1"/>
  <c r="Q157" i="2"/>
  <c r="F116" i="2" s="1"/>
  <c r="Q116" i="2" s="1"/>
  <c r="AB116" i="2" s="1"/>
  <c r="M157" i="2"/>
  <c r="S156" i="2"/>
  <c r="H115" i="2" s="1"/>
  <c r="S115" i="2" s="1"/>
  <c r="AD115" i="2" s="1"/>
  <c r="O156" i="2"/>
  <c r="D115" i="2" s="1"/>
  <c r="O115" i="2" s="1"/>
  <c r="Z115" i="2" s="1"/>
  <c r="Q155" i="2"/>
  <c r="F114" i="2" s="1"/>
  <c r="Q114" i="2" s="1"/>
  <c r="AB114" i="2" s="1"/>
  <c r="M155" i="2"/>
  <c r="S154" i="2"/>
  <c r="H113" i="2" s="1"/>
  <c r="S113" i="2" s="1"/>
  <c r="AD113" i="2" s="1"/>
  <c r="O154" i="2"/>
  <c r="D113" i="2" s="1"/>
  <c r="O113" i="2" s="1"/>
  <c r="Z113" i="2" s="1"/>
  <c r="Q153" i="2"/>
  <c r="F112" i="2" s="1"/>
  <c r="Q112" i="2" s="1"/>
  <c r="AB112" i="2" s="1"/>
  <c r="M153" i="2"/>
  <c r="N127" i="2"/>
  <c r="Y127" i="2" s="1"/>
  <c r="N141" i="2"/>
  <c r="Y141" i="2" s="1"/>
  <c r="L149" i="2"/>
  <c r="P153" i="2"/>
  <c r="E112" i="2" s="1"/>
  <c r="P112" i="2" s="1"/>
  <c r="AA112" i="2" s="1"/>
  <c r="Q154" i="2"/>
  <c r="F113" i="2" s="1"/>
  <c r="Q113" i="2" s="1"/>
  <c r="AB113" i="2" s="1"/>
  <c r="R155" i="2"/>
  <c r="G114" i="2" s="1"/>
  <c r="R114" i="2" s="1"/>
  <c r="AC114" i="2" s="1"/>
  <c r="M156" i="2"/>
  <c r="R156" i="2"/>
  <c r="G115" i="2" s="1"/>
  <c r="R115" i="2" s="1"/>
  <c r="AC115" i="2" s="1"/>
  <c r="N157" i="2"/>
  <c r="C116" i="2" s="1"/>
  <c r="N116" i="2" s="1"/>
  <c r="Y116" i="2" s="1"/>
  <c r="S157" i="2"/>
  <c r="H116" i="2" s="1"/>
  <c r="S116" i="2" s="1"/>
  <c r="AD116" i="2" s="1"/>
  <c r="N158" i="2"/>
  <c r="C117" i="2" s="1"/>
  <c r="J117" i="2" s="1"/>
  <c r="T158" i="2"/>
  <c r="I117" i="2" s="1"/>
  <c r="T117" i="2" s="1"/>
  <c r="AE117" i="2" s="1"/>
  <c r="O159" i="2"/>
  <c r="D118" i="2" s="1"/>
  <c r="O118" i="2" s="1"/>
  <c r="Z118" i="2" s="1"/>
  <c r="T159" i="2"/>
  <c r="I118" i="2" s="1"/>
  <c r="T118" i="2" s="1"/>
  <c r="AE118" i="2" s="1"/>
  <c r="P160" i="2"/>
  <c r="E119" i="2" s="1"/>
  <c r="P119" i="2" s="1"/>
  <c r="AA119" i="2" s="1"/>
  <c r="P161" i="2"/>
  <c r="E120" i="2" s="1"/>
  <c r="P120" i="2" s="1"/>
  <c r="AA120" i="2" s="1"/>
  <c r="Q162" i="2"/>
  <c r="F121" i="2" s="1"/>
  <c r="Q121" i="2" s="1"/>
  <c r="AB121" i="2" s="1"/>
  <c r="R163" i="2"/>
  <c r="G122" i="2" s="1"/>
  <c r="R122" i="2" s="1"/>
  <c r="AC122" i="2" s="1"/>
  <c r="M164" i="2"/>
  <c r="R164" i="2"/>
  <c r="N165" i="2"/>
  <c r="C124" i="2" s="1"/>
  <c r="N124" i="2" s="1"/>
  <c r="Y124" i="2" s="1"/>
  <c r="S165" i="2"/>
  <c r="H124" i="2" s="1"/>
  <c r="S124" i="2" s="1"/>
  <c r="AD124" i="2" s="1"/>
  <c r="N166" i="2"/>
  <c r="C125" i="2" s="1"/>
  <c r="J125" i="2" s="1"/>
  <c r="T166" i="2"/>
  <c r="I125" i="2" s="1"/>
  <c r="T125" i="2" s="1"/>
  <c r="AE125" i="2" s="1"/>
  <c r="O167" i="2"/>
  <c r="D126" i="2" s="1"/>
  <c r="O126" i="2" s="1"/>
  <c r="Z126" i="2" s="1"/>
  <c r="T167" i="2"/>
  <c r="I126" i="2" s="1"/>
  <c r="T126" i="2" s="1"/>
  <c r="AE126" i="2" s="1"/>
  <c r="P168" i="2"/>
  <c r="E127" i="2" s="1"/>
  <c r="P127" i="2" s="1"/>
  <c r="AA127" i="2" s="1"/>
  <c r="P169" i="2"/>
  <c r="E128" i="2" s="1"/>
  <c r="P128" i="2" s="1"/>
  <c r="AA128" i="2" s="1"/>
  <c r="Q170" i="2"/>
  <c r="F129" i="2" s="1"/>
  <c r="Q129" i="2" s="1"/>
  <c r="AB129" i="2" s="1"/>
  <c r="R171" i="2"/>
  <c r="G130" i="2" s="1"/>
  <c r="R130" i="2" s="1"/>
  <c r="AC130" i="2" s="1"/>
  <c r="M172" i="2"/>
  <c r="R172" i="2"/>
  <c r="G131" i="2" s="1"/>
  <c r="R131" i="2" s="1"/>
  <c r="AC131" i="2" s="1"/>
  <c r="N173" i="2"/>
  <c r="C132" i="2" s="1"/>
  <c r="N132" i="2" s="1"/>
  <c r="Y132" i="2" s="1"/>
  <c r="S173" i="2"/>
  <c r="H132" i="2" s="1"/>
  <c r="S132" i="2" s="1"/>
  <c r="AD132" i="2" s="1"/>
  <c r="N174" i="2"/>
  <c r="C133" i="2" s="1"/>
  <c r="J133" i="2" s="1"/>
  <c r="U133" i="2" s="1"/>
  <c r="AF133" i="2" s="1"/>
  <c r="T174" i="2"/>
  <c r="I133" i="2" s="1"/>
  <c r="T133" i="2" s="1"/>
  <c r="AE133" i="2" s="1"/>
  <c r="O175" i="2"/>
  <c r="D134" i="2" s="1"/>
  <c r="O134" i="2" s="1"/>
  <c r="Z134" i="2" s="1"/>
  <c r="T175" i="2"/>
  <c r="I134" i="2" s="1"/>
  <c r="M176" i="2"/>
  <c r="B135" i="2" s="1"/>
  <c r="R176" i="2"/>
  <c r="G135" i="2" s="1"/>
  <c r="N177" i="2"/>
  <c r="C136" i="2" s="1"/>
  <c r="N136" i="2" s="1"/>
  <c r="Y136" i="2" s="1"/>
  <c r="S177" i="2"/>
  <c r="H136" i="2" s="1"/>
  <c r="M178" i="2"/>
  <c r="T178" i="2"/>
  <c r="Q179" i="2"/>
  <c r="F138" i="2" s="1"/>
  <c r="AB138" i="2" s="1"/>
  <c r="P180" i="2"/>
  <c r="E139" i="2" s="1"/>
  <c r="P139" i="2" s="1"/>
  <c r="AA139" i="2" s="1"/>
  <c r="M181" i="2"/>
  <c r="T181" i="2"/>
  <c r="I140" i="2" s="1"/>
  <c r="T140" i="2" s="1"/>
  <c r="AE140" i="2" s="1"/>
  <c r="R182" i="2"/>
  <c r="G141" i="2" s="1"/>
  <c r="R141" i="2" s="1"/>
  <c r="AC141" i="2" s="1"/>
  <c r="M183" i="2"/>
  <c r="T183" i="2"/>
  <c r="I142" i="2" s="1"/>
  <c r="T142" i="2" s="1"/>
  <c r="AE142" i="2" s="1"/>
  <c r="P184" i="2"/>
  <c r="E143" i="2" s="1"/>
  <c r="M185" i="2"/>
  <c r="T185" i="2"/>
  <c r="P192" i="2"/>
  <c r="S193" i="2"/>
  <c r="Q194" i="2"/>
  <c r="N195" i="2"/>
  <c r="T195" i="2"/>
  <c r="P196" i="2"/>
  <c r="U196" i="2" s="1"/>
  <c r="S197" i="2"/>
  <c r="S215" i="2" s="1"/>
  <c r="F233" i="2"/>
  <c r="H231" i="2"/>
  <c r="H233" i="2" s="1"/>
  <c r="K23" i="3"/>
  <c r="AA81" i="3"/>
  <c r="K24" i="3"/>
  <c r="O59" i="3"/>
  <c r="AA88" i="3"/>
  <c r="K30" i="3"/>
  <c r="K31" i="3"/>
  <c r="O91" i="3"/>
  <c r="K33" i="3"/>
  <c r="AA91" i="3"/>
  <c r="K34" i="3"/>
  <c r="AA47" i="3"/>
  <c r="P52" i="3"/>
  <c r="AA52" i="3"/>
  <c r="AA53" i="3"/>
  <c r="AB54" i="3"/>
  <c r="O57" i="3"/>
  <c r="W57" i="3"/>
  <c r="AI57" i="3"/>
  <c r="O62" i="3"/>
  <c r="AA71" i="3"/>
  <c r="O82" i="3"/>
  <c r="O92" i="3"/>
  <c r="L25" i="4"/>
  <c r="J15" i="5"/>
  <c r="B16" i="5"/>
  <c r="D113" i="5"/>
  <c r="AA78" i="3"/>
  <c r="O49" i="3"/>
  <c r="O87" i="3"/>
  <c r="AA87" i="3"/>
  <c r="K29" i="3"/>
  <c r="P53" i="3"/>
  <c r="AB53" i="3"/>
  <c r="AA58" i="3"/>
  <c r="AA61" i="3"/>
  <c r="AB79" i="3"/>
  <c r="T50" i="5"/>
  <c r="AE50" i="5" s="1"/>
  <c r="AB47" i="3"/>
  <c r="AB51" i="3"/>
  <c r="AB57" i="3"/>
  <c r="AA60" i="3"/>
  <c r="AB61" i="3"/>
  <c r="P25" i="5"/>
  <c r="AA25" i="5" s="1"/>
  <c r="T25" i="5"/>
  <c r="AE25" i="5" s="1"/>
  <c r="Q49" i="6"/>
  <c r="AA49" i="6" s="1"/>
  <c r="G40" i="6"/>
  <c r="C39" i="6"/>
  <c r="U24" i="5" l="1"/>
  <c r="AF24" i="5" s="1"/>
  <c r="M31" i="5"/>
  <c r="X31" i="5" s="1"/>
  <c r="P143" i="2"/>
  <c r="AA143" i="2" s="1"/>
  <c r="D114" i="5"/>
  <c r="E113" i="5"/>
  <c r="W63" i="3"/>
  <c r="W92" i="3"/>
  <c r="AI63" i="3"/>
  <c r="AI92" i="3"/>
  <c r="W89" i="3"/>
  <c r="AI60" i="3"/>
  <c r="AI89" i="3"/>
  <c r="W60" i="3"/>
  <c r="AI82" i="3"/>
  <c r="W53" i="3"/>
  <c r="W82" i="3"/>
  <c r="AI53" i="3"/>
  <c r="U181" i="2"/>
  <c r="B140" i="2"/>
  <c r="B131" i="2"/>
  <c r="J131" i="2" s="1"/>
  <c r="U172" i="2"/>
  <c r="U164" i="2"/>
  <c r="B115" i="2"/>
  <c r="U156" i="2"/>
  <c r="R218" i="2"/>
  <c r="R231" i="2" s="1"/>
  <c r="G120" i="2"/>
  <c r="R120" i="2" s="1"/>
  <c r="AC120" i="2" s="1"/>
  <c r="S199" i="2"/>
  <c r="B15" i="6"/>
  <c r="L24" i="6"/>
  <c r="V24" i="6" s="1"/>
  <c r="M55" i="5"/>
  <c r="X55" i="5" s="1"/>
  <c r="U48" i="5"/>
  <c r="AF48" i="5" s="1"/>
  <c r="U81" i="5"/>
  <c r="AF81" i="5" s="1"/>
  <c r="U75" i="5"/>
  <c r="AF75" i="5" s="1"/>
  <c r="N50" i="5"/>
  <c r="Y50" i="5" s="1"/>
  <c r="J41" i="5"/>
  <c r="N119" i="2"/>
  <c r="Y119" i="2" s="1"/>
  <c r="N69" i="2"/>
  <c r="Y69" i="2" s="1"/>
  <c r="E137" i="2"/>
  <c r="E144" i="2" s="1"/>
  <c r="Q231" i="2"/>
  <c r="N117" i="2"/>
  <c r="Y117" i="2" s="1"/>
  <c r="O85" i="2"/>
  <c r="Z85" i="2" s="1"/>
  <c r="O135" i="2"/>
  <c r="Z135" i="2" s="1"/>
  <c r="D37" i="2"/>
  <c r="N134" i="2"/>
  <c r="Y134" i="2" s="1"/>
  <c r="N84" i="2"/>
  <c r="Y84" i="2" s="1"/>
  <c r="C35" i="2"/>
  <c r="U117" i="2"/>
  <c r="AF117" i="2" s="1"/>
  <c r="U67" i="2"/>
  <c r="AF67" i="2" s="1"/>
  <c r="E185" i="2"/>
  <c r="P185" i="2" s="1"/>
  <c r="U82" i="2"/>
  <c r="AF82" i="2" s="1"/>
  <c r="N133" i="2"/>
  <c r="Y133" i="2" s="1"/>
  <c r="M131" i="2"/>
  <c r="X131" i="2" s="1"/>
  <c r="M81" i="2"/>
  <c r="X81" i="2" s="1"/>
  <c r="B35" i="2"/>
  <c r="J31" i="2"/>
  <c r="U71" i="2"/>
  <c r="AF71" i="2" s="1"/>
  <c r="N123" i="2"/>
  <c r="Y123" i="2" s="1"/>
  <c r="N73" i="2"/>
  <c r="Y73" i="2" s="1"/>
  <c r="U79" i="2"/>
  <c r="AF79" i="2" s="1"/>
  <c r="J19" i="2"/>
  <c r="P137" i="2"/>
  <c r="AA137" i="2" s="1"/>
  <c r="P87" i="2"/>
  <c r="AA87" i="2" s="1"/>
  <c r="E44" i="2"/>
  <c r="U76" i="2"/>
  <c r="AF76" i="2" s="1"/>
  <c r="J16" i="5"/>
  <c r="M25" i="5"/>
  <c r="X25" i="5" s="1"/>
  <c r="W59" i="3"/>
  <c r="W88" i="3"/>
  <c r="AI88" i="3"/>
  <c r="AI59" i="3"/>
  <c r="S218" i="2"/>
  <c r="S231" i="2" s="1"/>
  <c r="H137" i="2" s="1"/>
  <c r="H120" i="2"/>
  <c r="S120" i="2" s="1"/>
  <c r="AD120" i="2" s="1"/>
  <c r="B142" i="2"/>
  <c r="U183" i="2"/>
  <c r="U153" i="2"/>
  <c r="B112" i="2"/>
  <c r="U155" i="2"/>
  <c r="B114" i="2"/>
  <c r="U157" i="2"/>
  <c r="B116" i="2"/>
  <c r="U159" i="2"/>
  <c r="B118" i="2"/>
  <c r="U161" i="2"/>
  <c r="U163" i="2"/>
  <c r="B122" i="2"/>
  <c r="U165" i="2"/>
  <c r="B124" i="2"/>
  <c r="U167" i="2"/>
  <c r="B126" i="2"/>
  <c r="U169" i="2"/>
  <c r="B128" i="2"/>
  <c r="U171" i="2"/>
  <c r="B130" i="2"/>
  <c r="U173" i="2"/>
  <c r="B132" i="2"/>
  <c r="U175" i="2"/>
  <c r="B134" i="2"/>
  <c r="U177" i="2"/>
  <c r="B136" i="2"/>
  <c r="N199" i="2"/>
  <c r="U193" i="2"/>
  <c r="U195" i="2"/>
  <c r="U197" i="2"/>
  <c r="M215" i="2"/>
  <c r="AI71" i="3"/>
  <c r="W71" i="3"/>
  <c r="AI42" i="3"/>
  <c r="W42" i="3"/>
  <c r="Q24" i="6"/>
  <c r="AA24" i="6" s="1"/>
  <c r="G15" i="6"/>
  <c r="W25" i="4"/>
  <c r="D15" i="4"/>
  <c r="M25" i="4"/>
  <c r="AI48" i="3"/>
  <c r="W48" i="3"/>
  <c r="AI77" i="3"/>
  <c r="W77" i="3"/>
  <c r="J119" i="2"/>
  <c r="R199" i="2"/>
  <c r="U174" i="2"/>
  <c r="R178" i="2"/>
  <c r="G185" i="2"/>
  <c r="R185" i="2" s="1"/>
  <c r="U92" i="2"/>
  <c r="AF92" i="2" s="1"/>
  <c r="U63" i="2"/>
  <c r="AF63" i="2" s="1"/>
  <c r="U64" i="2"/>
  <c r="AF64" i="2" s="1"/>
  <c r="U158" i="2"/>
  <c r="M143" i="2"/>
  <c r="X143" i="2" s="1"/>
  <c r="M93" i="2"/>
  <c r="X93" i="2" s="1"/>
  <c r="N125" i="2"/>
  <c r="Y125" i="2" s="1"/>
  <c r="B94" i="2"/>
  <c r="B104" i="2" s="1"/>
  <c r="J104" i="2" s="1"/>
  <c r="W91" i="3"/>
  <c r="AI91" i="3"/>
  <c r="W62" i="3"/>
  <c r="AI62" i="3"/>
  <c r="AI81" i="3"/>
  <c r="W81" i="3"/>
  <c r="AI52" i="3"/>
  <c r="W52" i="3"/>
  <c r="U180" i="2"/>
  <c r="U184" i="2" s="1"/>
  <c r="B139" i="2"/>
  <c r="U182" i="2"/>
  <c r="B141" i="2"/>
  <c r="O24" i="6"/>
  <c r="Y24" i="6" s="1"/>
  <c r="E15" i="6"/>
  <c r="N24" i="6"/>
  <c r="X24" i="6" s="1"/>
  <c r="D15" i="6"/>
  <c r="AI44" i="3"/>
  <c r="W44" i="3"/>
  <c r="AI73" i="3"/>
  <c r="F37" i="2"/>
  <c r="Q85" i="2"/>
  <c r="AB85" i="2" s="1"/>
  <c r="U72" i="2"/>
  <c r="AF72" i="2" s="1"/>
  <c r="U90" i="2"/>
  <c r="AF90" i="2" s="1"/>
  <c r="R135" i="2"/>
  <c r="AC135" i="2" s="1"/>
  <c r="G37" i="2"/>
  <c r="R85" i="2"/>
  <c r="AC85" i="2" s="1"/>
  <c r="U70" i="2"/>
  <c r="AF70" i="2" s="1"/>
  <c r="U166" i="2"/>
  <c r="I144" i="2"/>
  <c r="O136" i="2"/>
  <c r="Z136" i="2" s="1"/>
  <c r="E36" i="2"/>
  <c r="U91" i="2"/>
  <c r="AF91" i="2" s="1"/>
  <c r="M49" i="6"/>
  <c r="W49" i="6" s="1"/>
  <c r="C40" i="6"/>
  <c r="W87" i="3"/>
  <c r="AI87" i="3"/>
  <c r="AI58" i="3"/>
  <c r="W58" i="3"/>
  <c r="P199" i="2"/>
  <c r="H185" i="2"/>
  <c r="S185" i="2" s="1"/>
  <c r="I137" i="2"/>
  <c r="U162" i="2"/>
  <c r="D121" i="2"/>
  <c r="O127" i="2"/>
  <c r="Z127" i="2" s="1"/>
  <c r="J127" i="2"/>
  <c r="U127" i="2" s="1"/>
  <c r="AF127" i="2" s="1"/>
  <c r="D129" i="2"/>
  <c r="U170" i="2"/>
  <c r="Q143" i="2"/>
  <c r="AB143" i="2" s="1"/>
  <c r="O199" i="2"/>
  <c r="W72" i="3"/>
  <c r="W43" i="3"/>
  <c r="AI72" i="3"/>
  <c r="AI43" i="3"/>
  <c r="U192" i="2"/>
  <c r="F15" i="6"/>
  <c r="P24" i="6"/>
  <c r="Z24" i="6" s="1"/>
  <c r="R24" i="6"/>
  <c r="AB24" i="6" s="1"/>
  <c r="H15" i="6"/>
  <c r="AI54" i="3"/>
  <c r="W83" i="3"/>
  <c r="W54" i="3"/>
  <c r="AI83" i="3"/>
  <c r="AI80" i="3"/>
  <c r="W51" i="3"/>
  <c r="W80" i="3"/>
  <c r="AI51" i="3"/>
  <c r="AI78" i="3"/>
  <c r="W49" i="3"/>
  <c r="AI49" i="3"/>
  <c r="W78" i="3"/>
  <c r="Q176" i="2"/>
  <c r="F135" i="2" s="1"/>
  <c r="Q135" i="2" s="1"/>
  <c r="AB135" i="2" s="1"/>
  <c r="F178" i="2"/>
  <c r="U168" i="2"/>
  <c r="E48" i="2"/>
  <c r="O98" i="2"/>
  <c r="Z98" i="2" s="1"/>
  <c r="D52" i="2"/>
  <c r="O102" i="2" s="1"/>
  <c r="Z102" i="2" s="1"/>
  <c r="J34" i="2"/>
  <c r="N131" i="2"/>
  <c r="Y131" i="2" s="1"/>
  <c r="N81" i="2"/>
  <c r="Y81" i="2" s="1"/>
  <c r="U160" i="2"/>
  <c r="N89" i="2"/>
  <c r="Y89" i="2" s="1"/>
  <c r="N139" i="2"/>
  <c r="Y139" i="2" s="1"/>
  <c r="C43" i="2"/>
  <c r="J39" i="2"/>
  <c r="U74" i="2"/>
  <c r="AF74" i="2" s="1"/>
  <c r="S87" i="2"/>
  <c r="AD87" i="2" s="1"/>
  <c r="H44" i="2"/>
  <c r="I37" i="2"/>
  <c r="T135" i="2"/>
  <c r="AE135" i="2" s="1"/>
  <c r="T85" i="2"/>
  <c r="AE85" i="2" s="1"/>
  <c r="U66" i="2"/>
  <c r="AF66" i="2" s="1"/>
  <c r="U154" i="2"/>
  <c r="U75" i="2"/>
  <c r="AF75" i="2" s="1"/>
  <c r="U125" i="2"/>
  <c r="AF125" i="2" s="1"/>
  <c r="M73" i="2"/>
  <c r="X73" i="2" s="1"/>
  <c r="J23" i="2"/>
  <c r="J113" i="2"/>
  <c r="U113" i="2" s="1"/>
  <c r="AF113" i="2" s="1"/>
  <c r="H144" i="2" l="1"/>
  <c r="S137" i="2"/>
  <c r="AD137" i="2" s="1"/>
  <c r="E15" i="4"/>
  <c r="X25" i="4"/>
  <c r="N25" i="4"/>
  <c r="M218" i="2"/>
  <c r="U215" i="2"/>
  <c r="U218" i="2" s="1"/>
  <c r="U231" i="2" s="1"/>
  <c r="R137" i="2"/>
  <c r="AC137" i="2" s="1"/>
  <c r="R87" i="2"/>
  <c r="AC87" i="2" s="1"/>
  <c r="G44" i="2"/>
  <c r="Q137" i="2"/>
  <c r="AB137" i="2" s="1"/>
  <c r="Q87" i="2"/>
  <c r="AB87" i="2" s="1"/>
  <c r="F44" i="2"/>
  <c r="J136" i="2"/>
  <c r="M136" i="2"/>
  <c r="X136" i="2" s="1"/>
  <c r="J128" i="2"/>
  <c r="U128" i="2" s="1"/>
  <c r="AF128" i="2" s="1"/>
  <c r="M128" i="2"/>
  <c r="X128" i="2" s="1"/>
  <c r="J124" i="2"/>
  <c r="U124" i="2" s="1"/>
  <c r="AF124" i="2" s="1"/>
  <c r="M124" i="2"/>
  <c r="X124" i="2" s="1"/>
  <c r="J116" i="2"/>
  <c r="U116" i="2" s="1"/>
  <c r="AF116" i="2" s="1"/>
  <c r="M116" i="2"/>
  <c r="X116" i="2" s="1"/>
  <c r="J112" i="2"/>
  <c r="U112" i="2" s="1"/>
  <c r="AF112" i="2" s="1"/>
  <c r="M112" i="2"/>
  <c r="X112" i="2" s="1"/>
  <c r="U81" i="2"/>
  <c r="AF81" i="2" s="1"/>
  <c r="U131" i="2"/>
  <c r="AF131" i="2" s="1"/>
  <c r="G123" i="2"/>
  <c r="R123" i="2" s="1"/>
  <c r="AC123" i="2" s="1"/>
  <c r="F36" i="2"/>
  <c r="P136" i="2"/>
  <c r="AA136" i="2" s="1"/>
  <c r="J141" i="2"/>
  <c r="U141" i="2" s="1"/>
  <c r="AF141" i="2" s="1"/>
  <c r="M141" i="2"/>
  <c r="X141" i="2" s="1"/>
  <c r="U176" i="2"/>
  <c r="U178" i="2" s="1"/>
  <c r="U69" i="2"/>
  <c r="AF69" i="2" s="1"/>
  <c r="U119" i="2"/>
  <c r="AF119" i="2" s="1"/>
  <c r="M135" i="2"/>
  <c r="X135" i="2" s="1"/>
  <c r="B37" i="2"/>
  <c r="J35" i="2"/>
  <c r="M85" i="2"/>
  <c r="X85" i="2" s="1"/>
  <c r="O87" i="2"/>
  <c r="Z87" i="2" s="1"/>
  <c r="O137" i="2"/>
  <c r="Z137" i="2" s="1"/>
  <c r="D44" i="2"/>
  <c r="M57" i="5"/>
  <c r="X57" i="5" s="1"/>
  <c r="U50" i="5"/>
  <c r="AF50" i="5" s="1"/>
  <c r="H123" i="2"/>
  <c r="S123" i="2" s="1"/>
  <c r="AD123" i="2" s="1"/>
  <c r="J140" i="2"/>
  <c r="U140" i="2" s="1"/>
  <c r="AF140" i="2" s="1"/>
  <c r="M140" i="2"/>
  <c r="X140" i="2" s="1"/>
  <c r="S94" i="2"/>
  <c r="AD94" i="2" s="1"/>
  <c r="S144" i="2"/>
  <c r="AD144" i="2" s="1"/>
  <c r="U84" i="2"/>
  <c r="AF84" i="2" s="1"/>
  <c r="O121" i="2"/>
  <c r="Z121" i="2" s="1"/>
  <c r="J121" i="2"/>
  <c r="U121" i="2" s="1"/>
  <c r="AF121" i="2" s="1"/>
  <c r="J139" i="2"/>
  <c r="M139" i="2"/>
  <c r="X139" i="2" s="1"/>
  <c r="J142" i="2"/>
  <c r="U142" i="2" s="1"/>
  <c r="AF142" i="2" s="1"/>
  <c r="M142" i="2"/>
  <c r="X142" i="2" s="1"/>
  <c r="U25" i="5"/>
  <c r="AF25" i="5" s="1"/>
  <c r="M32" i="5"/>
  <c r="X32" i="5" s="1"/>
  <c r="J115" i="2"/>
  <c r="U115" i="2" s="1"/>
  <c r="AF115" i="2" s="1"/>
  <c r="M115" i="2"/>
  <c r="X115" i="2" s="1"/>
  <c r="F113" i="5"/>
  <c r="E114" i="5"/>
  <c r="U73" i="2"/>
  <c r="AF73" i="2" s="1"/>
  <c r="J43" i="2"/>
  <c r="U139" i="2"/>
  <c r="AF139" i="2" s="1"/>
  <c r="U89" i="2"/>
  <c r="AF89" i="2" s="1"/>
  <c r="F185" i="2"/>
  <c r="Q185" i="2" s="1"/>
  <c r="Q178" i="2"/>
  <c r="F137" i="2" s="1"/>
  <c r="F144" i="2" s="1"/>
  <c r="O129" i="2"/>
  <c r="Z129" i="2" s="1"/>
  <c r="J129" i="2"/>
  <c r="U129" i="2" s="1"/>
  <c r="AF129" i="2" s="1"/>
  <c r="U185" i="2"/>
  <c r="M132" i="2"/>
  <c r="X132" i="2" s="1"/>
  <c r="J132" i="2"/>
  <c r="U132" i="2" s="1"/>
  <c r="AF132" i="2" s="1"/>
  <c r="B120" i="2"/>
  <c r="N143" i="2"/>
  <c r="Y143" i="2" s="1"/>
  <c r="N93" i="2"/>
  <c r="Y93" i="2" s="1"/>
  <c r="T137" i="2"/>
  <c r="AE137" i="2" s="1"/>
  <c r="T87" i="2"/>
  <c r="AE87" i="2" s="1"/>
  <c r="I44" i="2"/>
  <c r="E52" i="2"/>
  <c r="P102" i="2" s="1"/>
  <c r="AA102" i="2" s="1"/>
  <c r="P98" i="2"/>
  <c r="AA98" i="2" s="1"/>
  <c r="F48" i="2"/>
  <c r="U199" i="2"/>
  <c r="G137" i="2"/>
  <c r="G144" i="2" s="1"/>
  <c r="J134" i="2"/>
  <c r="U134" i="2" s="1"/>
  <c r="AF134" i="2" s="1"/>
  <c r="M134" i="2"/>
  <c r="X134" i="2" s="1"/>
  <c r="J130" i="2"/>
  <c r="U130" i="2" s="1"/>
  <c r="AF130" i="2" s="1"/>
  <c r="M130" i="2"/>
  <c r="X130" i="2" s="1"/>
  <c r="J126" i="2"/>
  <c r="U126" i="2" s="1"/>
  <c r="AF126" i="2" s="1"/>
  <c r="M126" i="2"/>
  <c r="X126" i="2" s="1"/>
  <c r="J122" i="2"/>
  <c r="U122" i="2" s="1"/>
  <c r="AF122" i="2" s="1"/>
  <c r="M122" i="2"/>
  <c r="X122" i="2" s="1"/>
  <c r="J118" i="2"/>
  <c r="U118" i="2" s="1"/>
  <c r="AF118" i="2" s="1"/>
  <c r="M118" i="2"/>
  <c r="X118" i="2" s="1"/>
  <c r="M114" i="2"/>
  <c r="X114" i="2" s="1"/>
  <c r="J114" i="2"/>
  <c r="U114" i="2" s="1"/>
  <c r="AF114" i="2" s="1"/>
  <c r="P94" i="2"/>
  <c r="AA94" i="2" s="1"/>
  <c r="P144" i="2"/>
  <c r="AA144" i="2" s="1"/>
  <c r="E54" i="2"/>
  <c r="P104" i="2" s="1"/>
  <c r="AA104" i="2" s="1"/>
  <c r="N135" i="2"/>
  <c r="Y135" i="2" s="1"/>
  <c r="N85" i="2"/>
  <c r="Y85" i="2" s="1"/>
  <c r="C37" i="2"/>
  <c r="N87" i="2" l="1"/>
  <c r="Y87" i="2" s="1"/>
  <c r="N137" i="2"/>
  <c r="Y137" i="2" s="1"/>
  <c r="O144" i="2"/>
  <c r="Z144" i="2" s="1"/>
  <c r="D54" i="2"/>
  <c r="O104" i="2" s="1"/>
  <c r="Z104" i="2" s="1"/>
  <c r="O94" i="2"/>
  <c r="Z94" i="2" s="1"/>
  <c r="U85" i="2"/>
  <c r="AF85" i="2" s="1"/>
  <c r="J120" i="2"/>
  <c r="U120" i="2" s="1"/>
  <c r="AF120" i="2" s="1"/>
  <c r="M120" i="2"/>
  <c r="X120" i="2" s="1"/>
  <c r="J37" i="2"/>
  <c r="M87" i="2"/>
  <c r="X87" i="2" s="1"/>
  <c r="B44" i="2"/>
  <c r="G36" i="2"/>
  <c r="Q136" i="2"/>
  <c r="AB136" i="2" s="1"/>
  <c r="Y25" i="4"/>
  <c r="O25" i="4"/>
  <c r="F15" i="4"/>
  <c r="C44" i="2"/>
  <c r="U136" i="2"/>
  <c r="AF136" i="2" s="1"/>
  <c r="J135" i="2"/>
  <c r="U135" i="2" s="1"/>
  <c r="AF135" i="2" s="1"/>
  <c r="R144" i="2"/>
  <c r="AC144" i="2" s="1"/>
  <c r="R94" i="2"/>
  <c r="AC94" i="2" s="1"/>
  <c r="M231" i="2"/>
  <c r="B137" i="2" s="1"/>
  <c r="M137" i="2" s="1"/>
  <c r="X137" i="2" s="1"/>
  <c r="B123" i="2"/>
  <c r="Q98" i="2"/>
  <c r="AB98" i="2" s="1"/>
  <c r="F52" i="2"/>
  <c r="Q102" i="2" s="1"/>
  <c r="AB102" i="2" s="1"/>
  <c r="G48" i="2"/>
  <c r="T144" i="2"/>
  <c r="AE144" i="2" s="1"/>
  <c r="T94" i="2"/>
  <c r="AE94" i="2" s="1"/>
  <c r="J44" i="2"/>
  <c r="U93" i="2"/>
  <c r="AF93" i="2" s="1"/>
  <c r="F114" i="5"/>
  <c r="G113" i="5"/>
  <c r="J143" i="2"/>
  <c r="Q144" i="2"/>
  <c r="AB144" i="2" s="1"/>
  <c r="Q94" i="2"/>
  <c r="AB94" i="2" s="1"/>
  <c r="N94" i="2" l="1"/>
  <c r="Y94" i="2" s="1"/>
  <c r="N144" i="2"/>
  <c r="Y144" i="2" s="1"/>
  <c r="C54" i="2"/>
  <c r="N104" i="2" s="1"/>
  <c r="Y104" i="2" s="1"/>
  <c r="F54" i="2"/>
  <c r="Q104" i="2" s="1"/>
  <c r="AB104" i="2" s="1"/>
  <c r="U143" i="2"/>
  <c r="AF143" i="2" s="1"/>
  <c r="J123" i="2"/>
  <c r="U123" i="2" s="1"/>
  <c r="AF123" i="2" s="1"/>
  <c r="M123" i="2"/>
  <c r="X123" i="2" s="1"/>
  <c r="P25" i="4"/>
  <c r="G15" i="4"/>
  <c r="Z25" i="4"/>
  <c r="R136" i="2"/>
  <c r="AC136" i="2" s="1"/>
  <c r="H36" i="2"/>
  <c r="U94" i="2"/>
  <c r="AF94" i="2" s="1"/>
  <c r="U137" i="2"/>
  <c r="AF137" i="2" s="1"/>
  <c r="U87" i="2"/>
  <c r="AF87" i="2" s="1"/>
  <c r="G114" i="5"/>
  <c r="H113" i="5"/>
  <c r="R98" i="2"/>
  <c r="AC98" i="2" s="1"/>
  <c r="H48" i="2"/>
  <c r="G52" i="2"/>
  <c r="J137" i="2"/>
  <c r="J144" i="2" s="1"/>
  <c r="B144" i="2"/>
  <c r="M144" i="2" s="1"/>
  <c r="X144" i="2" s="1"/>
  <c r="M94" i="2"/>
  <c r="X94" i="2" s="1"/>
  <c r="B54" i="2"/>
  <c r="J187" i="2" l="1"/>
  <c r="U144" i="2"/>
  <c r="AF144" i="2" s="1"/>
  <c r="R102" i="2"/>
  <c r="AC102" i="2" s="1"/>
  <c r="G54" i="2"/>
  <c r="R104" i="2" s="1"/>
  <c r="AC104" i="2" s="1"/>
  <c r="H15" i="4"/>
  <c r="AA25" i="4"/>
  <c r="Q25" i="4"/>
  <c r="M104" i="2"/>
  <c r="X104" i="2" s="1"/>
  <c r="H114" i="5"/>
  <c r="I113" i="5"/>
  <c r="I114" i="5" s="1"/>
  <c r="H52" i="2"/>
  <c r="I48" i="2"/>
  <c r="S98" i="2"/>
  <c r="AD98" i="2" s="1"/>
  <c r="S136" i="2"/>
  <c r="AD136" i="2" s="1"/>
  <c r="I36" i="2"/>
  <c r="T136" i="2" s="1"/>
  <c r="AE136" i="2" s="1"/>
  <c r="I52" i="2" l="1"/>
  <c r="T98" i="2"/>
  <c r="AE98" i="2" s="1"/>
  <c r="J48" i="2"/>
  <c r="I15" i="4"/>
  <c r="AB25" i="4"/>
  <c r="R25" i="4"/>
  <c r="S102" i="2"/>
  <c r="AD102" i="2" s="1"/>
  <c r="H54" i="2"/>
  <c r="S104" i="2" l="1"/>
  <c r="AD104" i="2" s="1"/>
  <c r="AC25" i="4"/>
  <c r="S25" i="4"/>
  <c r="L30" i="4"/>
  <c r="U98" i="2"/>
  <c r="AF98" i="2" s="1"/>
  <c r="J52" i="2"/>
  <c r="U102" i="2" s="1"/>
  <c r="AF102" i="2" s="1"/>
  <c r="T102" i="2"/>
  <c r="AE102" i="2" s="1"/>
  <c r="I54" i="2"/>
  <c r="T104" i="2" s="1"/>
  <c r="AE104" i="2" s="1"/>
  <c r="J54" i="2" l="1"/>
  <c r="U104" i="2" s="1"/>
  <c r="AF104" i="2" s="1"/>
</calcChain>
</file>

<file path=xl/comments1.xml><?xml version="1.0" encoding="utf-8"?>
<comments xmlns="http://schemas.openxmlformats.org/spreadsheetml/2006/main">
  <authors>
    <author>Bob</author>
  </authors>
  <commentList>
    <comment ref="A71" authorId="0" shapeId="0">
      <text>
        <r>
          <rPr>
            <b/>
            <sz val="8"/>
            <color indexed="81"/>
            <rFont val="Tahoma"/>
            <family val="2"/>
          </rPr>
          <t>Ofgem:</t>
        </r>
        <r>
          <rPr>
            <sz val="8"/>
            <color indexed="81"/>
            <rFont val="Tahoma"/>
            <family val="2"/>
          </rPr>
          <t xml:space="preserve">
Any concentration level at any location in the building. Data to include all GIB instances including those reportable under RIDDOR</t>
        </r>
      </text>
    </comment>
  </commentList>
</comments>
</file>

<file path=xl/sharedStrings.xml><?xml version="1.0" encoding="utf-8"?>
<sst xmlns="http://schemas.openxmlformats.org/spreadsheetml/2006/main" count="1086" uniqueCount="192">
  <si>
    <t>2.2 Summary of totex costs</t>
  </si>
  <si>
    <t>Current year RRP submission - £m</t>
  </si>
  <si>
    <t>Current year actuals</t>
  </si>
  <si>
    <t>Forecast</t>
  </si>
  <si>
    <t>Controllable costs by activity</t>
  </si>
  <si>
    <t xml:space="preserve"> Forecast RIIO Total</t>
  </si>
  <si>
    <t>LTS, storage and entry</t>
  </si>
  <si>
    <t>Connections</t>
  </si>
  <si>
    <t>Mains Reinforcement</t>
  </si>
  <si>
    <t>Governors (Replacement)</t>
  </si>
  <si>
    <t>Other Capex</t>
  </si>
  <si>
    <t>of which IT</t>
  </si>
  <si>
    <t>of which Vehicles</t>
  </si>
  <si>
    <t xml:space="preserve">Total Capex </t>
  </si>
  <si>
    <t>HSE driven mains &amp; services</t>
  </si>
  <si>
    <t>Non-HSE driven mains &amp; services</t>
  </si>
  <si>
    <t>Risers</t>
  </si>
  <si>
    <t xml:space="preserve">Total Repex </t>
  </si>
  <si>
    <t>Work Management</t>
  </si>
  <si>
    <t>Emergency</t>
  </si>
  <si>
    <t>Repair</t>
  </si>
  <si>
    <t>Maintenance</t>
  </si>
  <si>
    <t>Statutory independent undertakings (SIUs)</t>
  </si>
  <si>
    <t>-</t>
  </si>
  <si>
    <t>Other Direct Activities</t>
  </si>
  <si>
    <t>of which xoserve</t>
  </si>
  <si>
    <t>Total Direct Opex</t>
  </si>
  <si>
    <t>Business support</t>
  </si>
  <si>
    <t>Training &amp; Apprentices</t>
  </si>
  <si>
    <t>Total Indirect Opex</t>
  </si>
  <si>
    <t>Total Opex</t>
  </si>
  <si>
    <t>Of which total sub-deducts</t>
  </si>
  <si>
    <t>Total Controllable costs</t>
  </si>
  <si>
    <t>Non-Controllable costs</t>
  </si>
  <si>
    <t>Licence/network/other</t>
  </si>
  <si>
    <t>NTS exit costs</t>
  </si>
  <si>
    <t>Shrinkage</t>
  </si>
  <si>
    <t>NTS pensions contributions</t>
  </si>
  <si>
    <t>Total non-controllable costs</t>
  </si>
  <si>
    <t>Total funded costs - including uncertainties</t>
  </si>
  <si>
    <t>Of which:  uncertainties*:</t>
  </si>
  <si>
    <t>Smart metering</t>
  </si>
  <si>
    <t>Streetworks</t>
  </si>
  <si>
    <t>Physical Security Upgrade Programme (PSUP)</t>
  </si>
  <si>
    <t>Other</t>
  </si>
  <si>
    <t>Total uncertainties*</t>
  </si>
  <si>
    <t>Total funded costs - excluding uncertainties*</t>
  </si>
  <si>
    <t>Previous year RRP submission - £m</t>
  </si>
  <si>
    <t>Variance from previous year</t>
  </si>
  <si>
    <t>% Variance from previous year</t>
  </si>
  <si>
    <t>Previous year forecast</t>
  </si>
  <si>
    <t>Multi occupancy buildings (MoBs)</t>
  </si>
  <si>
    <t>Total sub-deducts</t>
  </si>
  <si>
    <t>Final proposals adjusted with agreed uncertainties - £m</t>
  </si>
  <si>
    <t>Variance from final proposals adjusted with uncertainties</t>
  </si>
  <si>
    <t>% Variance from final proposals adjusted with uncertainties</t>
  </si>
  <si>
    <t>Ofgem Allowance (Post IQI) £m</t>
  </si>
  <si>
    <t>of which Xoserve</t>
  </si>
  <si>
    <t>Total funded costs - including agreed uncertainties**</t>
  </si>
  <si>
    <t>Price conversion tables</t>
  </si>
  <si>
    <t>Final proposals - £m</t>
  </si>
  <si>
    <t>2009/10 prices</t>
  </si>
  <si>
    <t>Total funded costs</t>
  </si>
  <si>
    <t>Agreed Uncertainties** £m</t>
  </si>
  <si>
    <t>Uncertainty</t>
  </si>
  <si>
    <t>RIIO Total</t>
  </si>
  <si>
    <t>PSUP</t>
  </si>
  <si>
    <t>SIUs</t>
  </si>
  <si>
    <t>Tier 2A adjustment</t>
  </si>
  <si>
    <t>Total</t>
  </si>
  <si>
    <t>Agreed uncertainties** by activity £m</t>
  </si>
  <si>
    <t>* These are uncertainties where a reopener has yet to be triggered and no decision on setting an allowance has been made.</t>
  </si>
  <si>
    <t>** Agreed uncertainties are where a reopener has been triggered and a decision has been made by Ofgem.</t>
  </si>
  <si>
    <t>2.3 Summary of workload</t>
  </si>
  <si>
    <t>Current year RRP submission 2015 - Workload</t>
  </si>
  <si>
    <t>Actuals</t>
  </si>
  <si>
    <t>Cost activity</t>
  </si>
  <si>
    <t>Opex</t>
  </si>
  <si>
    <t>Mains condition reports</t>
  </si>
  <si>
    <t>Number</t>
  </si>
  <si>
    <t>Service condition reports</t>
  </si>
  <si>
    <t> No. of holders removed</t>
  </si>
  <si>
    <t>Capex</t>
  </si>
  <si>
    <t>Total mains reinforcement</t>
  </si>
  <si>
    <t>km</t>
  </si>
  <si>
    <t>Total reinforcement Governors</t>
  </si>
  <si>
    <t>Total connection services</t>
  </si>
  <si>
    <t xml:space="preserve"> - New housing services</t>
  </si>
  <si>
    <t xml:space="preserve"> - Existing housing services</t>
  </si>
  <si>
    <t xml:space="preserve"> - Non- domestic services</t>
  </si>
  <si>
    <t xml:space="preserve"> - Fuel poor services </t>
  </si>
  <si>
    <t>Governor intervention</t>
  </si>
  <si>
    <t xml:space="preserve">Number </t>
  </si>
  <si>
    <t>Repex</t>
  </si>
  <si>
    <t>T1 length decommissioned</t>
  </si>
  <si>
    <t>T2 length decommissioned</t>
  </si>
  <si>
    <t>T3 length decommissioned</t>
  </si>
  <si>
    <t>Steel length decommissioned</t>
  </si>
  <si>
    <t>Other length decommissioned</t>
  </si>
  <si>
    <t>No. of services transferred</t>
  </si>
  <si>
    <t>No. of services relaid</t>
  </si>
  <si>
    <t xml:space="preserve">Previous year RRP submission </t>
  </si>
  <si>
    <t>Units</t>
  </si>
  <si>
    <t>Final proposals</t>
  </si>
  <si>
    <t>Variance from final proposals</t>
  </si>
  <si>
    <t>% Variance from final proposals</t>
  </si>
  <si>
    <t xml:space="preserve">Workload </t>
  </si>
  <si>
    <t>c. 2-3</t>
  </si>
  <si>
    <t>c. 23-24</t>
  </si>
  <si>
    <t>2.4 Summary of safety outputs and secondary deliverables</t>
  </si>
  <si>
    <r>
      <t>Actual/forecast iron mains risk reduction (incidents/year x 10</t>
    </r>
    <r>
      <rPr>
        <b/>
        <vertAlign val="superscript"/>
        <sz val="10"/>
        <color theme="1"/>
        <rFont val="Verdana"/>
        <family val="2"/>
      </rPr>
      <t>-</t>
    </r>
    <r>
      <rPr>
        <b/>
        <vertAlign val="superscript"/>
        <sz val="8"/>
        <color theme="1"/>
        <rFont val="Verdana"/>
        <family val="2"/>
      </rPr>
      <t>6</t>
    </r>
    <r>
      <rPr>
        <b/>
        <sz val="10"/>
        <color theme="1"/>
        <rFont val="Verdana"/>
        <family val="2"/>
      </rPr>
      <t>) - Primary output</t>
    </r>
  </si>
  <si>
    <t>Mains risk b/f</t>
  </si>
  <si>
    <t>Mains risk reduction</t>
  </si>
  <si>
    <t>Main risk c/f</t>
  </si>
  <si>
    <t>Cumulative mains risk reduction</t>
  </si>
  <si>
    <r>
      <t>Previous year forecast iron mains risk reduction (incidents/year x 10</t>
    </r>
    <r>
      <rPr>
        <b/>
        <vertAlign val="superscript"/>
        <sz val="10"/>
        <color theme="1"/>
        <rFont val="Verdana"/>
        <family val="2"/>
      </rPr>
      <t>-</t>
    </r>
    <r>
      <rPr>
        <b/>
        <vertAlign val="superscript"/>
        <sz val="8"/>
        <color theme="1"/>
        <rFont val="Verdana"/>
        <family val="2"/>
      </rPr>
      <t>6</t>
    </r>
    <r>
      <rPr>
        <b/>
        <sz val="10"/>
        <color theme="1"/>
        <rFont val="Verdana"/>
        <family val="2"/>
      </rPr>
      <t>)</t>
    </r>
  </si>
  <si>
    <r>
      <t>Final proposals allowed iron mains risk reduction for RIIO-GD1 (incidents/year x 10</t>
    </r>
    <r>
      <rPr>
        <b/>
        <vertAlign val="superscript"/>
        <sz val="10"/>
        <color theme="1"/>
        <rFont val="Verdana"/>
        <family val="2"/>
      </rPr>
      <t>-</t>
    </r>
    <r>
      <rPr>
        <b/>
        <vertAlign val="superscript"/>
        <sz val="8"/>
        <color theme="1"/>
        <rFont val="Verdana"/>
        <family val="2"/>
      </rPr>
      <t>6</t>
    </r>
    <r>
      <rPr>
        <b/>
        <sz val="10"/>
        <color theme="1"/>
        <rFont val="Verdana"/>
        <family val="2"/>
      </rPr>
      <t>)</t>
    </r>
  </si>
  <si>
    <t>Actual/forecast repair risk</t>
  </si>
  <si>
    <t>Repair risk 2013 (start position)</t>
  </si>
  <si>
    <t>Annual repair risk</t>
  </si>
  <si>
    <t>Movement in risk</t>
  </si>
  <si>
    <t>Previous year's forecast repair risK</t>
  </si>
  <si>
    <t>Repair risk reduction</t>
  </si>
  <si>
    <t>Safety - Emergency response - Primary output</t>
  </si>
  <si>
    <t>Total PREs</t>
  </si>
  <si>
    <t xml:space="preserve">(1) Controllable </t>
  </si>
  <si>
    <t>Number of controlled gas escapes or controlled other gas emergencies reported</t>
  </si>
  <si>
    <t>Number of responses within timescale (2 hours)</t>
  </si>
  <si>
    <t>Percentage of controlled gas escapes responded to within timescale (2 hours)</t>
  </si>
  <si>
    <t>(2) Non-controllable</t>
  </si>
  <si>
    <t>Number of uncontrolled gas escapes or uncontrolled other gas emergencies reported</t>
  </si>
  <si>
    <t>Number of responses within timescale (1 hour)</t>
  </si>
  <si>
    <t>Percentage of uncontrolled gas escapes responded to within timescale (1 hour)</t>
  </si>
  <si>
    <t>Proportion of gas escapes prevented within 12 hrs (secondary deliverable)</t>
  </si>
  <si>
    <t>Gas in Buildings (GIB) events - Iron mains - Secondary deliverable</t>
  </si>
  <si>
    <t xml:space="preserve">GIB events reportable under RIDDOR ie GIB &gt;= 20% LEL or  &gt; 10kg from spun/cast iron fracture or DI corrosion of mains of: </t>
  </si>
  <si>
    <t xml:space="preserve">GIB events (any % level) from spun/cast iron fracture or DI corrosion of mains of: </t>
  </si>
  <si>
    <t>Cast/spun iron fractures and ductile iron corrosion failures - Secondary deliverable</t>
  </si>
  <si>
    <t xml:space="preserve">Number of spun/cast iron fracture or DI corrosion of mains of: </t>
  </si>
  <si>
    <t>Sub-deduct networks - secondary deliverable</t>
  </si>
  <si>
    <t>annual % off sub-deduct networks taken of risk</t>
  </si>
  <si>
    <t>cumulative % off sub-deduct networks taken of risk</t>
  </si>
  <si>
    <t>2.5 Summary of reliability outputs and secondary deliverables</t>
  </si>
  <si>
    <t>Summary of loss of supply volumes and duration - primary output</t>
  </si>
  <si>
    <t>Actual/forecast loss of supply volumes (no.)</t>
  </si>
  <si>
    <t>No. of planned interruptions</t>
  </si>
  <si>
    <t>No. of unplanned interruptions</t>
  </si>
  <si>
    <t>Total interruptions</t>
  </si>
  <si>
    <t>Previous year forecast loss of supply volumes (no.)</t>
  </si>
  <si>
    <t>Final proposals allowed loss of supply volumes (no.)</t>
  </si>
  <si>
    <t>Actual/forecast loss of supply duration (mins - million of)</t>
  </si>
  <si>
    <t>Previous year forecast loss of supply duration (mins - million of)</t>
  </si>
  <si>
    <t>Final proposals allowed loss of supply duration (mins - million of)</t>
  </si>
  <si>
    <t>Summary of telemetered faults - secondary deliverables</t>
  </si>
  <si>
    <t>Actual/forecast telemetered faults (fault * duration/no. of telemetered AGIs - "now faults" (hrs))</t>
  </si>
  <si>
    <t>Telemetered faults</t>
  </si>
  <si>
    <t>Previous year forecast telemetered faults (fault * duration/no. of telemetered AGIs - "now faults" (hrs))</t>
  </si>
  <si>
    <t>Final proposals allowed telemetered faults (fault * duration/no. of telemetered AGIs - "now faults" (hrs))</t>
  </si>
  <si>
    <t xml:space="preserve">Final proposals </t>
  </si>
  <si>
    <t>Summary of pressure systems safety regulations (PSSR) faults - secondary deliverables</t>
  </si>
  <si>
    <r>
      <t xml:space="preserve">Actual/forecast PSSR faults (faults as a % of inspections - PSSR A1 and A2 faults or faults/No. of AGIs - PSSR A1 and A2 faults </t>
    </r>
    <r>
      <rPr>
        <b/>
        <i/>
        <sz val="10"/>
        <color theme="1"/>
        <rFont val="Verdana"/>
        <family val="2"/>
      </rPr>
      <t>(delete as appropriate)</t>
    </r>
    <r>
      <rPr>
        <b/>
        <sz val="10"/>
        <color theme="1"/>
        <rFont val="Verdana"/>
        <family val="2"/>
      </rPr>
      <t>)</t>
    </r>
  </si>
  <si>
    <t>PSSR faults (% or No.)</t>
  </si>
  <si>
    <r>
      <t xml:space="preserve">Previous year forecast PSSR faults (faults as a % of inspections - PSSR A1 and A2 faults or faults/No. of AGIs - PSSR A1 and A2 faults </t>
    </r>
    <r>
      <rPr>
        <b/>
        <i/>
        <sz val="10"/>
        <color theme="1"/>
        <rFont val="Verdana"/>
        <family val="2"/>
      </rPr>
      <t>(delete as appropriate)</t>
    </r>
    <r>
      <rPr>
        <b/>
        <sz val="10"/>
        <color theme="1"/>
        <rFont val="Verdana"/>
        <family val="2"/>
      </rPr>
      <t>)</t>
    </r>
  </si>
  <si>
    <r>
      <t xml:space="preserve">Final proposals allowed PSSR faults (faults as a % of inspections - PSSR A1 and A2 faults or faults/No. of AGIs - PSSR A1 and A2 faults </t>
    </r>
    <r>
      <rPr>
        <b/>
        <i/>
        <sz val="10"/>
        <color theme="1"/>
        <rFont val="Verdana"/>
        <family val="2"/>
      </rPr>
      <t>(delete as appropriate)</t>
    </r>
    <r>
      <rPr>
        <b/>
        <sz val="10"/>
        <color theme="1"/>
        <rFont val="Verdana"/>
        <family val="2"/>
      </rPr>
      <t>)</t>
    </r>
  </si>
  <si>
    <t>Number and value of offtake meter error reports</t>
  </si>
  <si>
    <t>Volume of offtake meter errors (GWh)</t>
  </si>
  <si>
    <t>Throughput (GWh)</t>
  </si>
  <si>
    <t>Meter errors/throughput (%)</t>
  </si>
  <si>
    <t>Summary Capacity Utilisation</t>
  </si>
  <si>
    <t>Capacity utilisation</t>
  </si>
  <si>
    <t xml:space="preserve"> </t>
  </si>
  <si>
    <t>&lt;/= 50%</t>
  </si>
  <si>
    <t>&gt;50% to &lt;/=70%</t>
  </si>
  <si>
    <t>&gt;70% to &lt;/=80%</t>
  </si>
  <si>
    <t>&gt;80% to &lt;/=100%</t>
  </si>
  <si>
    <t>&gt;100%</t>
  </si>
  <si>
    <t>Total no. of sites</t>
  </si>
  <si>
    <t>2.6  Summary of environmental outputs - shrinkage and leakage volumes</t>
  </si>
  <si>
    <t>Actual/forecast shrinkage volumes (GWh)</t>
  </si>
  <si>
    <t>Shrinkage volumes at start of RIIO-GD1</t>
  </si>
  <si>
    <t>Shrinkage volume</t>
  </si>
  <si>
    <t>Shrinkage volume reduction</t>
  </si>
  <si>
    <t>% shrinkage volume reduction</t>
  </si>
  <si>
    <t>Previous year forecast shrinkage volumes (GWh)</t>
  </si>
  <si>
    <t>Final proposals allowed shrinkage volumes (GWh)</t>
  </si>
  <si>
    <t>Actual/forecast leakage volumes (GWh)</t>
  </si>
  <si>
    <t>Leakage volumes at start of RIIO-GD1</t>
  </si>
  <si>
    <t>Leakage volume</t>
  </si>
  <si>
    <t>Leakage volume reduction</t>
  </si>
  <si>
    <t>% Leakage volume reduction</t>
  </si>
  <si>
    <t>Previous year forecast leakage volumes (GWh)</t>
  </si>
  <si>
    <t>Final proposals allowed leakage volumes (GWh)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</si>
</sst>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-* #,##0.00_-;\-* #,##0.00_-;_-* &quot;-&quot;??_-;_-@_-"/>
    <numFmt numFmtId="164" formatCode="0.0"/>
    <numFmt numFmtId="165" formatCode="#,##0.0"/>
    <numFmt numFmtId="166" formatCode="_-* #,##0.0_-;\-* #,##0.0_-;_-* &quot;-&quot;??_-;_-@_-"/>
    <numFmt numFmtId="167" formatCode="_(* #,##0.00_);_(* \(#,##0.00\);_(* &quot;-&quot;??_);_(@_)"/>
    <numFmt numFmtId="168" formatCode="#,##0.0;[Red]\(#,##0.0\)"/>
    <numFmt numFmtId="169" formatCode="_-* #,##0.000_-;\-* #,##0.000_-;_-* &quot;-&quot;??_-;_-@_-"/>
    <numFmt numFmtId="170" formatCode="0.0%"/>
    <numFmt numFmtId="171" formatCode="#,##0.0%\);[Red]\(#,##0.0%\);\-"/>
    <numFmt numFmtId="172" formatCode="_(* #,##0.000_);_(* \(#,##0.000\);_(* &quot;-&quot;??_);_(@_)"/>
    <numFmt numFmtId="173" formatCode="_-* #,##0_-;\-* #,##0_-;_-* &quot;-&quot;??_-;_-@_-"/>
    <numFmt numFmtId="174" formatCode="#,##0;[Red]\(#,##0\);\-"/>
    <numFmt numFmtId="175" formatCode="#,##0_);[Red]\(#,##0\);\-"/>
    <numFmt numFmtId="176" formatCode="#,##0.000;\(#,##0.000\)"/>
    <numFmt numFmtId="177" formatCode="_(* #,##0_);_(* \(#,##0\);_(* &quot;-&quot;??_);_(@_)"/>
  </numFmts>
  <fonts count="36">
    <font>
      <sz val="10"/>
      <name val="Arial"/>
    </font>
    <font>
      <sz val="11"/>
      <color theme="1"/>
      <name val="Calibri"/>
      <family val="2"/>
      <scheme val="minor"/>
    </font>
    <font>
      <sz val="11"/>
      <name val="CG Omega"/>
      <family val="2"/>
    </font>
    <font>
      <b/>
      <sz val="20"/>
      <name val="Verdana"/>
      <family val="2"/>
    </font>
    <font>
      <sz val="11"/>
      <name val="Verdana"/>
      <family val="2"/>
    </font>
    <font>
      <sz val="10"/>
      <name val="Arial"/>
      <family val="2"/>
    </font>
    <font>
      <sz val="10"/>
      <color rgb="FF000000"/>
      <name val="Verdana"/>
      <family val="2"/>
    </font>
    <font>
      <sz val="10"/>
      <color theme="1"/>
      <name val="Verdana"/>
      <family val="2"/>
    </font>
    <font>
      <sz val="10"/>
      <name val="Verdana"/>
      <family val="2"/>
    </font>
    <font>
      <sz val="10"/>
      <color rgb="FFFF0000"/>
      <name val="Verdana"/>
      <family val="2"/>
    </font>
    <font>
      <b/>
      <sz val="10"/>
      <color rgb="FFFF0000"/>
      <name val="Verdana"/>
      <family val="2"/>
    </font>
    <font>
      <b/>
      <sz val="16"/>
      <color theme="1"/>
      <name val="Verdana"/>
      <family val="2"/>
    </font>
    <font>
      <b/>
      <sz val="10"/>
      <color theme="1"/>
      <name val="Verdana"/>
      <family val="2"/>
    </font>
    <font>
      <b/>
      <sz val="1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sz val="12"/>
      <color rgb="FFFF0000"/>
      <name val="Verdana"/>
      <family val="2"/>
    </font>
    <font>
      <b/>
      <i/>
      <sz val="10"/>
      <name val="Verdana"/>
      <family val="2"/>
    </font>
    <font>
      <i/>
      <sz val="10"/>
      <name val="Verdana"/>
      <family val="2"/>
    </font>
    <font>
      <b/>
      <i/>
      <sz val="10"/>
      <color theme="1"/>
      <name val="Verdana"/>
      <family val="2"/>
    </font>
    <font>
      <b/>
      <u/>
      <sz val="10"/>
      <color rgb="FF000000"/>
      <name val="Verdana"/>
      <family val="2"/>
    </font>
    <font>
      <sz val="11"/>
      <color theme="1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2"/>
      <color theme="1"/>
      <name val="Verdana"/>
      <family val="2"/>
    </font>
    <font>
      <b/>
      <vertAlign val="superscript"/>
      <sz val="10"/>
      <color theme="1"/>
      <name val="Verdana"/>
      <family val="2"/>
    </font>
    <font>
      <b/>
      <vertAlign val="superscript"/>
      <sz val="8"/>
      <color theme="1"/>
      <name val="Verdana"/>
      <family val="2"/>
    </font>
    <font>
      <vertAlign val="subscript"/>
      <sz val="10"/>
      <name val="Verdana"/>
      <family val="2"/>
    </font>
    <font>
      <b/>
      <sz val="10"/>
      <color rgb="FF0070C0"/>
      <name val="Verdana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rgb="FFFF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</borders>
  <cellStyleXfs count="21">
    <xf numFmtId="0" fontId="0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7" fillId="0" borderId="0"/>
    <xf numFmtId="0" fontId="5" fillId="0" borderId="0"/>
    <xf numFmtId="167" fontId="5" fillId="0" borderId="0" applyFont="0" applyFill="0" applyBorder="0" applyAlignment="0" applyProtection="0"/>
    <xf numFmtId="0" fontId="8" fillId="0" borderId="0"/>
    <xf numFmtId="0" fontId="5" fillId="0" borderId="0"/>
    <xf numFmtId="0" fontId="1" fillId="0" borderId="0"/>
    <xf numFmtId="167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" fillId="0" borderId="0"/>
    <xf numFmtId="0" fontId="2" fillId="0" borderId="0"/>
    <xf numFmtId="0" fontId="7" fillId="0" borderId="0"/>
    <xf numFmtId="0" fontId="2" fillId="0" borderId="0"/>
  </cellStyleXfs>
  <cellXfs count="501">
    <xf numFmtId="0" fontId="0" fillId="0" borderId="0" xfId="0"/>
    <xf numFmtId="0" fontId="3" fillId="2" borderId="0" xfId="2" applyFont="1" applyFill="1" applyBorder="1"/>
    <xf numFmtId="0" fontId="4" fillId="2" borderId="0" xfId="2" applyFont="1" applyFill="1" applyBorder="1"/>
    <xf numFmtId="0" fontId="5" fillId="0" borderId="0" xfId="3"/>
    <xf numFmtId="164" fontId="3" fillId="2" borderId="0" xfId="2" applyNumberFormat="1" applyFont="1" applyFill="1" applyBorder="1"/>
    <xf numFmtId="1" fontId="3" fillId="2" borderId="0" xfId="2" applyNumberFormat="1" applyFont="1" applyFill="1" applyBorder="1" applyAlignment="1">
      <alignment horizontal="left"/>
    </xf>
    <xf numFmtId="0" fontId="11" fillId="0" borderId="0" xfId="3" applyFont="1"/>
    <xf numFmtId="0" fontId="8" fillId="0" borderId="0" xfId="0" applyFont="1"/>
    <xf numFmtId="0" fontId="12" fillId="0" borderId="0" xfId="0" applyFont="1"/>
    <xf numFmtId="0" fontId="13" fillId="0" borderId="0" xfId="0" applyFont="1"/>
    <xf numFmtId="0" fontId="10" fillId="0" borderId="11" xfId="0" applyFont="1" applyFill="1" applyBorder="1"/>
    <xf numFmtId="0" fontId="8" fillId="5" borderId="3" xfId="0" applyFont="1" applyFill="1" applyBorder="1" applyAlignment="1">
      <alignment horizontal="center"/>
    </xf>
    <xf numFmtId="0" fontId="8" fillId="0" borderId="12" xfId="0" applyFont="1" applyFill="1" applyBorder="1"/>
    <xf numFmtId="0" fontId="12" fillId="5" borderId="8" xfId="0" applyFont="1" applyFill="1" applyBorder="1" applyAlignment="1">
      <alignment horizontal="center" vertical="center"/>
    </xf>
    <xf numFmtId="0" fontId="12" fillId="0" borderId="12" xfId="0" applyFont="1" applyFill="1" applyBorder="1"/>
    <xf numFmtId="0" fontId="12" fillId="5" borderId="6" xfId="0" applyFont="1" applyFill="1" applyBorder="1" applyAlignment="1">
      <alignment horizontal="center"/>
    </xf>
    <xf numFmtId="0" fontId="12" fillId="5" borderId="12" xfId="0" applyFont="1" applyFill="1" applyBorder="1" applyAlignment="1">
      <alignment horizontal="center"/>
    </xf>
    <xf numFmtId="0" fontId="12" fillId="5" borderId="0" xfId="0" applyFont="1" applyFill="1" applyBorder="1" applyAlignment="1">
      <alignment horizontal="center"/>
    </xf>
    <xf numFmtId="0" fontId="12" fillId="5" borderId="5" xfId="0" applyFont="1" applyFill="1" applyBorder="1" applyAlignment="1">
      <alignment horizontal="center"/>
    </xf>
    <xf numFmtId="0" fontId="12" fillId="5" borderId="8" xfId="0" applyFont="1" applyFill="1" applyBorder="1" applyAlignment="1">
      <alignment horizontal="center" wrapText="1"/>
    </xf>
    <xf numFmtId="165" fontId="8" fillId="0" borderId="12" xfId="0" applyNumberFormat="1" applyFont="1" applyFill="1" applyBorder="1" applyAlignment="1">
      <alignment vertical="top"/>
    </xf>
    <xf numFmtId="166" fontId="13" fillId="5" borderId="1" xfId="0" applyNumberFormat="1" applyFont="1" applyFill="1" applyBorder="1" applyAlignment="1">
      <alignment vertical="top"/>
    </xf>
    <xf numFmtId="166" fontId="8" fillId="4" borderId="11" xfId="11" applyNumberFormat="1" applyFont="1" applyFill="1" applyBorder="1"/>
    <xf numFmtId="166" fontId="8" fillId="5" borderId="3" xfId="0" applyNumberFormat="1" applyFont="1" applyFill="1" applyBorder="1" applyAlignment="1">
      <alignment vertical="top"/>
    </xf>
    <xf numFmtId="166" fontId="13" fillId="5" borderId="4" xfId="0" applyNumberFormat="1" applyFont="1" applyFill="1" applyBorder="1" applyAlignment="1">
      <alignment vertical="top"/>
    </xf>
    <xf numFmtId="166" fontId="8" fillId="4" borderId="12" xfId="11" applyNumberFormat="1" applyFont="1" applyFill="1" applyBorder="1"/>
    <xf numFmtId="166" fontId="8" fillId="5" borderId="5" xfId="0" applyNumberFormat="1" applyFont="1" applyFill="1" applyBorder="1" applyAlignment="1">
      <alignment vertical="top"/>
    </xf>
    <xf numFmtId="168" fontId="8" fillId="0" borderId="12" xfId="0" applyNumberFormat="1" applyFont="1" applyFill="1" applyBorder="1" applyAlignment="1">
      <alignment horizontal="left" vertical="top" indent="1"/>
    </xf>
    <xf numFmtId="166" fontId="14" fillId="5" borderId="4" xfId="0" applyNumberFormat="1" applyFont="1" applyFill="1" applyBorder="1" applyAlignment="1">
      <alignment vertical="top"/>
    </xf>
    <xf numFmtId="166" fontId="15" fillId="5" borderId="5" xfId="0" applyNumberFormat="1" applyFont="1" applyFill="1" applyBorder="1" applyAlignment="1">
      <alignment vertical="top"/>
    </xf>
    <xf numFmtId="166" fontId="8" fillId="4" borderId="10" xfId="11" applyNumberFormat="1" applyFont="1" applyFill="1" applyBorder="1"/>
    <xf numFmtId="165" fontId="13" fillId="0" borderId="9" xfId="0" applyNumberFormat="1" applyFont="1" applyFill="1" applyBorder="1" applyAlignment="1">
      <alignment vertical="top"/>
    </xf>
    <xf numFmtId="166" fontId="13" fillId="5" borderId="9" xfId="0" applyNumberFormat="1" applyFont="1" applyFill="1" applyBorder="1" applyAlignment="1">
      <alignment vertical="top"/>
    </xf>
    <xf numFmtId="166" fontId="13" fillId="5" borderId="10" xfId="0" applyNumberFormat="1" applyFont="1" applyFill="1" applyBorder="1" applyAlignment="1">
      <alignment vertical="top"/>
    </xf>
    <xf numFmtId="166" fontId="13" fillId="5" borderId="3" xfId="0" applyNumberFormat="1" applyFont="1" applyFill="1" applyBorder="1" applyAlignment="1">
      <alignment vertical="top"/>
    </xf>
    <xf numFmtId="166" fontId="13" fillId="5" borderId="5" xfId="0" applyNumberFormat="1" applyFont="1" applyFill="1" applyBorder="1" applyAlignment="1">
      <alignment vertical="top"/>
    </xf>
    <xf numFmtId="166" fontId="13" fillId="5" borderId="6" xfId="0" applyNumberFormat="1" applyFont="1" applyFill="1" applyBorder="1" applyAlignment="1">
      <alignment vertical="top"/>
    </xf>
    <xf numFmtId="166" fontId="13" fillId="5" borderId="8" xfId="0" applyNumberFormat="1" applyFont="1" applyFill="1" applyBorder="1" applyAlignment="1">
      <alignment vertical="top"/>
    </xf>
    <xf numFmtId="166" fontId="13" fillId="5" borderId="11" xfId="0" applyNumberFormat="1" applyFont="1" applyFill="1" applyBorder="1" applyAlignment="1">
      <alignment vertical="top"/>
    </xf>
    <xf numFmtId="0" fontId="16" fillId="0" borderId="0" xfId="0" applyFont="1"/>
    <xf numFmtId="168" fontId="8" fillId="0" borderId="12" xfId="0" applyNumberFormat="1" applyFont="1" applyFill="1" applyBorder="1" applyAlignment="1">
      <alignment vertical="top"/>
    </xf>
    <xf numFmtId="166" fontId="13" fillId="5" borderId="12" xfId="0" applyNumberFormat="1" applyFont="1" applyFill="1" applyBorder="1" applyAlignment="1">
      <alignment vertical="top"/>
    </xf>
    <xf numFmtId="166" fontId="8" fillId="5" borderId="12" xfId="0" applyNumberFormat="1" applyFont="1" applyFill="1" applyBorder="1" applyAlignment="1">
      <alignment vertical="top"/>
    </xf>
    <xf numFmtId="166" fontId="8" fillId="4" borderId="12" xfId="11" applyNumberFormat="1" applyFont="1" applyFill="1" applyBorder="1" applyAlignment="1">
      <alignment horizontal="right"/>
    </xf>
    <xf numFmtId="166" fontId="15" fillId="5" borderId="12" xfId="0" applyNumberFormat="1" applyFont="1" applyFill="1" applyBorder="1" applyAlignment="1">
      <alignment vertical="top"/>
    </xf>
    <xf numFmtId="0" fontId="13" fillId="0" borderId="9" xfId="0" applyFont="1" applyFill="1" applyBorder="1" applyAlignment="1">
      <alignment vertical="top"/>
    </xf>
    <xf numFmtId="166" fontId="13" fillId="5" borderId="9" xfId="0" applyNumberFormat="1" applyFont="1" applyFill="1" applyBorder="1" applyAlignment="1">
      <alignment vertical="top" wrapText="1"/>
    </xf>
    <xf numFmtId="166" fontId="13" fillId="5" borderId="10" xfId="0" applyNumberFormat="1" applyFont="1" applyFill="1" applyBorder="1" applyAlignment="1">
      <alignment vertical="top" wrapText="1"/>
    </xf>
    <xf numFmtId="166" fontId="13" fillId="5" borderId="4" xfId="12" applyNumberFormat="1" applyFont="1" applyFill="1" applyBorder="1" applyAlignment="1">
      <alignment vertical="top"/>
    </xf>
    <xf numFmtId="166" fontId="8" fillId="5" borderId="12" xfId="12" applyNumberFormat="1" applyFont="1" applyFill="1" applyBorder="1" applyAlignment="1">
      <alignment vertical="top"/>
    </xf>
    <xf numFmtId="0" fontId="8" fillId="0" borderId="12" xfId="12" applyFont="1" applyFill="1" applyBorder="1" applyAlignment="1">
      <alignment vertical="top"/>
    </xf>
    <xf numFmtId="0" fontId="13" fillId="0" borderId="9" xfId="0" applyFont="1" applyFill="1" applyBorder="1" applyAlignment="1">
      <alignment vertical="top" wrapText="1"/>
    </xf>
    <xf numFmtId="0" fontId="17" fillId="0" borderId="11" xfId="0" applyFont="1" applyFill="1" applyBorder="1" applyAlignment="1">
      <alignment vertical="top" wrapText="1"/>
    </xf>
    <xf numFmtId="166" fontId="17" fillId="5" borderId="11" xfId="0" applyNumberFormat="1" applyFont="1" applyFill="1" applyBorder="1" applyAlignment="1">
      <alignment vertical="top" wrapText="1"/>
    </xf>
    <xf numFmtId="166" fontId="18" fillId="4" borderId="12" xfId="11" applyNumberFormat="1" applyFont="1" applyFill="1" applyBorder="1"/>
    <xf numFmtId="0" fontId="12" fillId="0" borderId="11" xfId="0" applyFont="1" applyFill="1" applyBorder="1"/>
    <xf numFmtId="166" fontId="12" fillId="5" borderId="11" xfId="0" applyNumberFormat="1" applyFont="1" applyFill="1" applyBorder="1"/>
    <xf numFmtId="165" fontId="13" fillId="0" borderId="13" xfId="0" applyNumberFormat="1" applyFont="1" applyFill="1" applyBorder="1" applyAlignment="1">
      <alignment vertical="top"/>
    </xf>
    <xf numFmtId="168" fontId="13" fillId="0" borderId="14" xfId="0" applyNumberFormat="1" applyFont="1" applyFill="1" applyBorder="1"/>
    <xf numFmtId="168" fontId="12" fillId="0" borderId="14" xfId="0" applyNumberFormat="1" applyFont="1" applyFill="1" applyBorder="1"/>
    <xf numFmtId="168" fontId="13" fillId="5" borderId="15" xfId="0" applyNumberFormat="1" applyFont="1" applyFill="1" applyBorder="1"/>
    <xf numFmtId="168" fontId="8" fillId="0" borderId="0" xfId="0" applyNumberFormat="1" applyFont="1"/>
    <xf numFmtId="166" fontId="8" fillId="5" borderId="12" xfId="11" applyNumberFormat="1" applyFont="1" applyFill="1" applyBorder="1" applyAlignment="1">
      <alignment vertical="top"/>
    </xf>
    <xf numFmtId="168" fontId="8" fillId="0" borderId="10" xfId="0" applyNumberFormat="1" applyFont="1" applyFill="1" applyBorder="1" applyAlignment="1">
      <alignment vertical="top"/>
    </xf>
    <xf numFmtId="166" fontId="8" fillId="5" borderId="10" xfId="11" applyNumberFormat="1" applyFont="1" applyFill="1" applyBorder="1" applyAlignment="1">
      <alignment vertical="top"/>
    </xf>
    <xf numFmtId="0" fontId="12" fillId="0" borderId="9" xfId="0" applyFont="1" applyFill="1" applyBorder="1" applyAlignment="1">
      <alignment wrapText="1"/>
    </xf>
    <xf numFmtId="168" fontId="12" fillId="5" borderId="9" xfId="0" applyNumberFormat="1" applyFont="1" applyFill="1" applyBorder="1"/>
    <xf numFmtId="168" fontId="13" fillId="5" borderId="9" xfId="0" applyNumberFormat="1" applyFont="1" applyFill="1" applyBorder="1"/>
    <xf numFmtId="168" fontId="13" fillId="5" borderId="10" xfId="0" applyNumberFormat="1" applyFont="1" applyFill="1" applyBorder="1"/>
    <xf numFmtId="168" fontId="13" fillId="0" borderId="0" xfId="0" applyNumberFormat="1" applyFont="1"/>
    <xf numFmtId="168" fontId="12" fillId="0" borderId="0" xfId="0" applyNumberFormat="1" applyFont="1"/>
    <xf numFmtId="0" fontId="13" fillId="0" borderId="13" xfId="0" applyFont="1" applyBorder="1"/>
    <xf numFmtId="168" fontId="17" fillId="0" borderId="14" xfId="0" applyNumberFormat="1" applyFont="1" applyBorder="1"/>
    <xf numFmtId="168" fontId="8" fillId="0" borderId="14" xfId="0" applyNumberFormat="1" applyFont="1" applyBorder="1"/>
    <xf numFmtId="168" fontId="8" fillId="0" borderId="15" xfId="0" applyNumberFormat="1" applyFont="1" applyBorder="1"/>
    <xf numFmtId="165" fontId="8" fillId="0" borderId="4" xfId="0" applyNumberFormat="1" applyFont="1" applyFill="1" applyBorder="1" applyAlignment="1">
      <alignment vertical="top"/>
    </xf>
    <xf numFmtId="168" fontId="13" fillId="5" borderId="12" xfId="0" applyNumberFormat="1" applyFont="1" applyFill="1" applyBorder="1" applyAlignment="1">
      <alignment vertical="top"/>
    </xf>
    <xf numFmtId="168" fontId="8" fillId="4" borderId="12" xfId="13" applyNumberFormat="1" applyFont="1" applyFill="1" applyBorder="1" applyAlignment="1">
      <alignment vertical="top"/>
    </xf>
    <xf numFmtId="168" fontId="8" fillId="4" borderId="11" xfId="13" applyNumberFormat="1" applyFont="1" applyFill="1" applyBorder="1" applyAlignment="1">
      <alignment vertical="top"/>
    </xf>
    <xf numFmtId="168" fontId="13" fillId="5" borderId="11" xfId="0" applyNumberFormat="1" applyFont="1" applyFill="1" applyBorder="1" applyAlignment="1">
      <alignment vertical="top"/>
    </xf>
    <xf numFmtId="165" fontId="13" fillId="0" borderId="10" xfId="0" applyNumberFormat="1" applyFont="1" applyFill="1" applyBorder="1" applyAlignment="1">
      <alignment vertical="top"/>
    </xf>
    <xf numFmtId="165" fontId="17" fillId="0" borderId="10" xfId="0" applyNumberFormat="1" applyFont="1" applyFill="1" applyBorder="1" applyAlignment="1">
      <alignment vertical="top"/>
    </xf>
    <xf numFmtId="168" fontId="17" fillId="0" borderId="15" xfId="0" applyNumberFormat="1" applyFont="1" applyFill="1" applyBorder="1"/>
    <xf numFmtId="168" fontId="17" fillId="0" borderId="9" xfId="0" applyNumberFormat="1" applyFont="1" applyFill="1" applyBorder="1"/>
    <xf numFmtId="168" fontId="19" fillId="0" borderId="9" xfId="0" applyNumberFormat="1" applyFont="1" applyFill="1" applyBorder="1"/>
    <xf numFmtId="168" fontId="8" fillId="0" borderId="0" xfId="0" applyNumberFormat="1" applyFont="1" applyFill="1"/>
    <xf numFmtId="0" fontId="8" fillId="0" borderId="0" xfId="0" applyFont="1" applyFill="1"/>
    <xf numFmtId="166" fontId="12" fillId="5" borderId="9" xfId="0" applyNumberFormat="1" applyFont="1" applyFill="1" applyBorder="1"/>
    <xf numFmtId="166" fontId="8" fillId="5" borderId="11" xfId="11" applyNumberFormat="1" applyFont="1" applyFill="1" applyBorder="1"/>
    <xf numFmtId="169" fontId="13" fillId="5" borderId="1" xfId="0" applyNumberFormat="1" applyFont="1" applyFill="1" applyBorder="1" applyAlignment="1">
      <alignment vertical="top"/>
    </xf>
    <xf numFmtId="166" fontId="8" fillId="5" borderId="3" xfId="11" applyNumberFormat="1" applyFont="1" applyFill="1" applyBorder="1"/>
    <xf numFmtId="170" fontId="13" fillId="5" borderId="1" xfId="1" applyNumberFormat="1" applyFont="1" applyFill="1" applyBorder="1" applyAlignment="1">
      <alignment vertical="top"/>
    </xf>
    <xf numFmtId="170" fontId="8" fillId="5" borderId="11" xfId="1" applyNumberFormat="1" applyFont="1" applyFill="1" applyBorder="1"/>
    <xf numFmtId="170" fontId="8" fillId="5" borderId="3" xfId="1" applyNumberFormat="1" applyFont="1" applyFill="1" applyBorder="1"/>
    <xf numFmtId="170" fontId="8" fillId="5" borderId="3" xfId="1" applyNumberFormat="1" applyFont="1" applyFill="1" applyBorder="1" applyAlignment="1">
      <alignment vertical="top"/>
    </xf>
    <xf numFmtId="166" fontId="8" fillId="5" borderId="12" xfId="11" applyNumberFormat="1" applyFont="1" applyFill="1" applyBorder="1"/>
    <xf numFmtId="169" fontId="13" fillId="5" borderId="4" xfId="0" applyNumberFormat="1" applyFont="1" applyFill="1" applyBorder="1" applyAlignment="1">
      <alignment vertical="top"/>
    </xf>
    <xf numFmtId="166" fontId="8" fillId="5" borderId="5" xfId="11" applyNumberFormat="1" applyFont="1" applyFill="1" applyBorder="1"/>
    <xf numFmtId="170" fontId="13" fillId="5" borderId="4" xfId="1" applyNumberFormat="1" applyFont="1" applyFill="1" applyBorder="1" applyAlignment="1">
      <alignment vertical="top"/>
    </xf>
    <xf numFmtId="170" fontId="8" fillId="5" borderId="12" xfId="1" applyNumberFormat="1" applyFont="1" applyFill="1" applyBorder="1"/>
    <xf numFmtId="170" fontId="8" fillId="5" borderId="5" xfId="1" applyNumberFormat="1" applyFont="1" applyFill="1" applyBorder="1"/>
    <xf numFmtId="170" fontId="8" fillId="5" borderId="5" xfId="1" applyNumberFormat="1" applyFont="1" applyFill="1" applyBorder="1" applyAlignment="1">
      <alignment vertical="top"/>
    </xf>
    <xf numFmtId="166" fontId="15" fillId="5" borderId="12" xfId="11" applyNumberFormat="1" applyFont="1" applyFill="1" applyBorder="1"/>
    <xf numFmtId="169" fontId="14" fillId="5" borderId="4" xfId="0" applyNumberFormat="1" applyFont="1" applyFill="1" applyBorder="1" applyAlignment="1">
      <alignment vertical="top"/>
    </xf>
    <xf numFmtId="166" fontId="15" fillId="5" borderId="5" xfId="11" applyNumberFormat="1" applyFont="1" applyFill="1" applyBorder="1"/>
    <xf numFmtId="170" fontId="14" fillId="5" borderId="4" xfId="1" applyNumberFormat="1" applyFont="1" applyFill="1" applyBorder="1" applyAlignment="1">
      <alignment vertical="top"/>
    </xf>
    <xf numFmtId="170" fontId="15" fillId="5" borderId="12" xfId="1" applyNumberFormat="1" applyFont="1" applyFill="1" applyBorder="1"/>
    <xf numFmtId="170" fontId="15" fillId="5" borderId="5" xfId="1" applyNumberFormat="1" applyFont="1" applyFill="1" applyBorder="1"/>
    <xf numFmtId="170" fontId="15" fillId="5" borderId="5" xfId="1" applyNumberFormat="1" applyFont="1" applyFill="1" applyBorder="1" applyAlignment="1">
      <alignment vertical="top"/>
    </xf>
    <xf numFmtId="166" fontId="15" fillId="5" borderId="10" xfId="11" applyNumberFormat="1" applyFont="1" applyFill="1" applyBorder="1"/>
    <xf numFmtId="166" fontId="15" fillId="5" borderId="8" xfId="11" applyNumberFormat="1" applyFont="1" applyFill="1" applyBorder="1"/>
    <xf numFmtId="170" fontId="15" fillId="5" borderId="10" xfId="1" applyNumberFormat="1" applyFont="1" applyFill="1" applyBorder="1"/>
    <xf numFmtId="170" fontId="15" fillId="5" borderId="8" xfId="1" applyNumberFormat="1" applyFont="1" applyFill="1" applyBorder="1"/>
    <xf numFmtId="169" fontId="13" fillId="5" borderId="9" xfId="0" applyNumberFormat="1" applyFont="1" applyFill="1" applyBorder="1" applyAlignment="1">
      <alignment vertical="top"/>
    </xf>
    <xf numFmtId="170" fontId="13" fillId="5" borderId="9" xfId="1" applyNumberFormat="1" applyFont="1" applyFill="1" applyBorder="1" applyAlignment="1">
      <alignment vertical="top"/>
    </xf>
    <xf numFmtId="170" fontId="13" fillId="5" borderId="12" xfId="1" applyNumberFormat="1" applyFont="1" applyFill="1" applyBorder="1" applyAlignment="1">
      <alignment vertical="top"/>
    </xf>
    <xf numFmtId="170" fontId="13" fillId="5" borderId="10" xfId="1" applyNumberFormat="1" applyFont="1" applyFill="1" applyBorder="1" applyAlignment="1">
      <alignment vertical="top"/>
    </xf>
    <xf numFmtId="170" fontId="13" fillId="5" borderId="3" xfId="1" applyNumberFormat="1" applyFont="1" applyFill="1" applyBorder="1" applyAlignment="1">
      <alignment vertical="top"/>
    </xf>
    <xf numFmtId="170" fontId="13" fillId="5" borderId="5" xfId="1" applyNumberFormat="1" applyFont="1" applyFill="1" applyBorder="1" applyAlignment="1">
      <alignment vertical="top"/>
    </xf>
    <xf numFmtId="166" fontId="8" fillId="5" borderId="10" xfId="11" applyNumberFormat="1" applyFont="1" applyFill="1" applyBorder="1"/>
    <xf numFmtId="169" fontId="13" fillId="5" borderId="6" xfId="0" applyNumberFormat="1" applyFont="1" applyFill="1" applyBorder="1" applyAlignment="1">
      <alignment vertical="top"/>
    </xf>
    <xf numFmtId="170" fontId="13" fillId="5" borderId="6" xfId="1" applyNumberFormat="1" applyFont="1" applyFill="1" applyBorder="1" applyAlignment="1">
      <alignment vertical="top"/>
    </xf>
    <xf numFmtId="170" fontId="8" fillId="5" borderId="10" xfId="1" applyNumberFormat="1" applyFont="1" applyFill="1" applyBorder="1"/>
    <xf numFmtId="170" fontId="13" fillId="5" borderId="8" xfId="1" applyNumberFormat="1" applyFont="1" applyFill="1" applyBorder="1" applyAlignment="1">
      <alignment vertical="top"/>
    </xf>
    <xf numFmtId="170" fontId="13" fillId="5" borderId="11" xfId="1" applyNumberFormat="1" applyFont="1" applyFill="1" applyBorder="1" applyAlignment="1">
      <alignment vertical="top"/>
    </xf>
    <xf numFmtId="169" fontId="13" fillId="5" borderId="12" xfId="0" applyNumberFormat="1" applyFont="1" applyFill="1" applyBorder="1" applyAlignment="1">
      <alignment vertical="top"/>
    </xf>
    <xf numFmtId="170" fontId="8" fillId="5" borderId="12" xfId="1" applyNumberFormat="1" applyFont="1" applyFill="1" applyBorder="1" applyAlignment="1">
      <alignment vertical="top"/>
    </xf>
    <xf numFmtId="170" fontId="15" fillId="5" borderId="12" xfId="1" applyNumberFormat="1" applyFont="1" applyFill="1" applyBorder="1" applyAlignment="1">
      <alignment vertical="top"/>
    </xf>
    <xf numFmtId="166" fontId="13" fillId="5" borderId="11" xfId="0" applyNumberFormat="1" applyFont="1" applyFill="1" applyBorder="1" applyAlignment="1">
      <alignment vertical="top" wrapText="1"/>
    </xf>
    <xf numFmtId="169" fontId="13" fillId="5" borderId="9" xfId="0" applyNumberFormat="1" applyFont="1" applyFill="1" applyBorder="1" applyAlignment="1">
      <alignment vertical="top" wrapText="1"/>
    </xf>
    <xf numFmtId="170" fontId="13" fillId="5" borderId="9" xfId="1" applyNumberFormat="1" applyFont="1" applyFill="1" applyBorder="1" applyAlignment="1">
      <alignment vertical="top" wrapText="1"/>
    </xf>
    <xf numFmtId="170" fontId="13" fillId="5" borderId="11" xfId="1" applyNumberFormat="1" applyFont="1" applyFill="1" applyBorder="1" applyAlignment="1">
      <alignment vertical="top" wrapText="1"/>
    </xf>
    <xf numFmtId="170" fontId="13" fillId="5" borderId="10" xfId="1" applyNumberFormat="1" applyFont="1" applyFill="1" applyBorder="1" applyAlignment="1">
      <alignment vertical="top" wrapText="1"/>
    </xf>
    <xf numFmtId="169" fontId="13" fillId="5" borderId="4" xfId="12" applyNumberFormat="1" applyFont="1" applyFill="1" applyBorder="1" applyAlignment="1">
      <alignment vertical="top"/>
    </xf>
    <xf numFmtId="168" fontId="18" fillId="0" borderId="12" xfId="0" applyNumberFormat="1" applyFont="1" applyFill="1" applyBorder="1" applyAlignment="1">
      <alignment vertical="top"/>
    </xf>
    <xf numFmtId="166" fontId="17" fillId="5" borderId="12" xfId="0" applyNumberFormat="1" applyFont="1" applyFill="1" applyBorder="1" applyAlignment="1">
      <alignment vertical="top" wrapText="1"/>
    </xf>
    <xf numFmtId="168" fontId="18" fillId="0" borderId="0" xfId="0" applyNumberFormat="1" applyFont="1"/>
    <xf numFmtId="169" fontId="17" fillId="5" borderId="11" xfId="0" applyNumberFormat="1" applyFont="1" applyFill="1" applyBorder="1" applyAlignment="1">
      <alignment vertical="top" wrapText="1"/>
    </xf>
    <xf numFmtId="0" fontId="18" fillId="0" borderId="0" xfId="0" applyFont="1"/>
    <xf numFmtId="170" fontId="17" fillId="5" borderId="4" xfId="1" applyNumberFormat="1" applyFont="1" applyFill="1" applyBorder="1" applyAlignment="1">
      <alignment vertical="top"/>
    </xf>
    <xf numFmtId="170" fontId="17" fillId="5" borderId="10" xfId="1" applyNumberFormat="1" applyFont="1" applyFill="1" applyBorder="1" applyAlignment="1">
      <alignment vertical="top" wrapText="1"/>
    </xf>
    <xf numFmtId="170" fontId="17" fillId="5" borderId="12" xfId="1" applyNumberFormat="1" applyFont="1" applyFill="1" applyBorder="1" applyAlignment="1">
      <alignment vertical="top"/>
    </xf>
    <xf numFmtId="169" fontId="12" fillId="5" borderId="11" xfId="0" applyNumberFormat="1" applyFont="1" applyFill="1" applyBorder="1"/>
    <xf numFmtId="170" fontId="12" fillId="5" borderId="11" xfId="1" applyNumberFormat="1" applyFont="1" applyFill="1" applyBorder="1"/>
    <xf numFmtId="168" fontId="13" fillId="5" borderId="14" xfId="0" applyNumberFormat="1" applyFont="1" applyFill="1" applyBorder="1"/>
    <xf numFmtId="169" fontId="13" fillId="5" borderId="14" xfId="0" applyNumberFormat="1" applyFont="1" applyFill="1" applyBorder="1"/>
    <xf numFmtId="168" fontId="12" fillId="5" borderId="14" xfId="0" applyNumberFormat="1" applyFont="1" applyFill="1" applyBorder="1"/>
    <xf numFmtId="170" fontId="13" fillId="5" borderId="14" xfId="1" applyNumberFormat="1" applyFont="1" applyFill="1" applyBorder="1"/>
    <xf numFmtId="170" fontId="12" fillId="5" borderId="14" xfId="1" applyNumberFormat="1" applyFont="1" applyFill="1" applyBorder="1"/>
    <xf numFmtId="170" fontId="13" fillId="5" borderId="15" xfId="1" applyNumberFormat="1" applyFont="1" applyFill="1" applyBorder="1"/>
    <xf numFmtId="166" fontId="8" fillId="5" borderId="4" xfId="11" applyNumberFormat="1" applyFont="1" applyFill="1" applyBorder="1"/>
    <xf numFmtId="170" fontId="8" fillId="5" borderId="4" xfId="1" applyNumberFormat="1" applyFont="1" applyFill="1" applyBorder="1"/>
    <xf numFmtId="166" fontId="8" fillId="5" borderId="6" xfId="11" applyNumberFormat="1" applyFont="1" applyFill="1" applyBorder="1"/>
    <xf numFmtId="170" fontId="8" fillId="5" borderId="6" xfId="1" applyNumberFormat="1" applyFont="1" applyFill="1" applyBorder="1"/>
    <xf numFmtId="170" fontId="8" fillId="5" borderId="10" xfId="1" applyNumberFormat="1" applyFont="1" applyFill="1" applyBorder="1" applyAlignment="1">
      <alignment vertical="top"/>
    </xf>
    <xf numFmtId="169" fontId="13" fillId="5" borderId="15" xfId="0" applyNumberFormat="1" applyFont="1" applyFill="1" applyBorder="1"/>
    <xf numFmtId="170" fontId="13" fillId="5" borderId="10" xfId="1" applyNumberFormat="1" applyFont="1" applyFill="1" applyBorder="1"/>
    <xf numFmtId="170" fontId="12" fillId="5" borderId="9" xfId="1" applyNumberFormat="1" applyFont="1" applyFill="1" applyBorder="1"/>
    <xf numFmtId="170" fontId="13" fillId="5" borderId="9" xfId="1" applyNumberFormat="1" applyFont="1" applyFill="1" applyBorder="1"/>
    <xf numFmtId="0" fontId="17" fillId="0" borderId="13" xfId="0" applyFont="1" applyBorder="1"/>
    <xf numFmtId="168" fontId="18" fillId="0" borderId="14" xfId="0" applyNumberFormat="1" applyFont="1" applyBorder="1"/>
    <xf numFmtId="168" fontId="18" fillId="0" borderId="15" xfId="0" applyNumberFormat="1" applyFont="1" applyBorder="1"/>
    <xf numFmtId="165" fontId="18" fillId="0" borderId="4" xfId="0" applyNumberFormat="1" applyFont="1" applyFill="1" applyBorder="1" applyAlignment="1">
      <alignment vertical="top"/>
    </xf>
    <xf numFmtId="168" fontId="18" fillId="5" borderId="11" xfId="0" applyNumberFormat="1" applyFont="1" applyFill="1" applyBorder="1" applyAlignment="1">
      <alignment vertical="top"/>
    </xf>
    <xf numFmtId="168" fontId="17" fillId="5" borderId="11" xfId="0" applyNumberFormat="1" applyFont="1" applyFill="1" applyBorder="1" applyAlignment="1">
      <alignment vertical="top"/>
    </xf>
    <xf numFmtId="168" fontId="18" fillId="5" borderId="12" xfId="0" applyNumberFormat="1" applyFont="1" applyFill="1" applyBorder="1" applyAlignment="1">
      <alignment vertical="top"/>
    </xf>
    <xf numFmtId="168" fontId="17" fillId="5" borderId="12" xfId="0" applyNumberFormat="1" applyFont="1" applyFill="1" applyBorder="1" applyAlignment="1">
      <alignment vertical="top"/>
    </xf>
    <xf numFmtId="168" fontId="8" fillId="0" borderId="4" xfId="0" applyNumberFormat="1" applyFont="1" applyFill="1" applyBorder="1" applyAlignment="1">
      <alignment vertical="top"/>
    </xf>
    <xf numFmtId="168" fontId="18" fillId="5" borderId="10" xfId="0" applyNumberFormat="1" applyFont="1" applyFill="1" applyBorder="1" applyAlignment="1">
      <alignment vertical="top"/>
    </xf>
    <xf numFmtId="168" fontId="17" fillId="5" borderId="10" xfId="0" applyNumberFormat="1" applyFont="1" applyFill="1" applyBorder="1" applyAlignment="1">
      <alignment vertical="top"/>
    </xf>
    <xf numFmtId="165" fontId="17" fillId="0" borderId="9" xfId="0" applyNumberFormat="1" applyFont="1" applyFill="1" applyBorder="1" applyAlignment="1">
      <alignment vertical="top"/>
    </xf>
    <xf numFmtId="168" fontId="17" fillId="5" borderId="8" xfId="0" applyNumberFormat="1" applyFont="1" applyFill="1" applyBorder="1"/>
    <xf numFmtId="168" fontId="17" fillId="5" borderId="15" xfId="0" applyNumberFormat="1" applyFont="1" applyFill="1" applyBorder="1"/>
    <xf numFmtId="168" fontId="17" fillId="5" borderId="9" xfId="0" applyNumberFormat="1" applyFont="1" applyFill="1" applyBorder="1"/>
    <xf numFmtId="168" fontId="19" fillId="5" borderId="9" xfId="0" applyNumberFormat="1" applyFont="1" applyFill="1" applyBorder="1"/>
    <xf numFmtId="0" fontId="19" fillId="0" borderId="9" xfId="0" applyFont="1" applyFill="1" applyBorder="1" applyAlignment="1">
      <alignment wrapText="1"/>
    </xf>
    <xf numFmtId="166" fontId="19" fillId="5" borderId="9" xfId="0" applyNumberFormat="1" applyFont="1" applyFill="1" applyBorder="1"/>
    <xf numFmtId="168" fontId="13" fillId="5" borderId="1" xfId="0" applyNumberFormat="1" applyFont="1" applyFill="1" applyBorder="1" applyAlignment="1">
      <alignment horizontal="center"/>
    </xf>
    <xf numFmtId="168" fontId="8" fillId="5" borderId="2" xfId="0" applyNumberFormat="1" applyFont="1" applyFill="1" applyBorder="1" applyAlignment="1">
      <alignment horizontal="center"/>
    </xf>
    <xf numFmtId="168" fontId="12" fillId="5" borderId="2" xfId="0" applyNumberFormat="1" applyFont="1" applyFill="1" applyBorder="1" applyAlignment="1">
      <alignment horizontal="center"/>
    </xf>
    <xf numFmtId="168" fontId="8" fillId="5" borderId="3" xfId="0" applyNumberFormat="1" applyFont="1" applyFill="1" applyBorder="1" applyAlignment="1">
      <alignment horizontal="center"/>
    </xf>
    <xf numFmtId="168" fontId="13" fillId="5" borderId="1" xfId="0" applyNumberFormat="1" applyFont="1" applyFill="1" applyBorder="1" applyAlignment="1">
      <alignment vertical="top"/>
    </xf>
    <xf numFmtId="168" fontId="8" fillId="5" borderId="11" xfId="11" applyNumberFormat="1" applyFont="1" applyFill="1" applyBorder="1"/>
    <xf numFmtId="168" fontId="8" fillId="5" borderId="3" xfId="11" applyNumberFormat="1" applyFont="1" applyFill="1" applyBorder="1"/>
    <xf numFmtId="168" fontId="8" fillId="5" borderId="3" xfId="0" applyNumberFormat="1" applyFont="1" applyFill="1" applyBorder="1" applyAlignment="1">
      <alignment vertical="top"/>
    </xf>
    <xf numFmtId="171" fontId="13" fillId="5" borderId="1" xfId="1" applyNumberFormat="1" applyFont="1" applyFill="1" applyBorder="1" applyAlignment="1">
      <alignment vertical="top"/>
    </xf>
    <xf numFmtId="171" fontId="8" fillId="5" borderId="11" xfId="1" applyNumberFormat="1" applyFont="1" applyFill="1" applyBorder="1"/>
    <xf numFmtId="171" fontId="8" fillId="5" borderId="3" xfId="1" applyNumberFormat="1" applyFont="1" applyFill="1" applyBorder="1"/>
    <xf numFmtId="171" fontId="8" fillId="5" borderId="3" xfId="1" applyNumberFormat="1" applyFont="1" applyFill="1" applyBorder="1" applyAlignment="1">
      <alignment vertical="top"/>
    </xf>
    <xf numFmtId="168" fontId="13" fillId="5" borderId="4" xfId="0" applyNumberFormat="1" applyFont="1" applyFill="1" applyBorder="1" applyAlignment="1">
      <alignment vertical="top"/>
    </xf>
    <xf numFmtId="168" fontId="8" fillId="5" borderId="12" xfId="11" applyNumberFormat="1" applyFont="1" applyFill="1" applyBorder="1"/>
    <xf numFmtId="168" fontId="8" fillId="5" borderId="5" xfId="11" applyNumberFormat="1" applyFont="1" applyFill="1" applyBorder="1"/>
    <xf numFmtId="168" fontId="8" fillId="5" borderId="5" xfId="0" applyNumberFormat="1" applyFont="1" applyFill="1" applyBorder="1" applyAlignment="1">
      <alignment vertical="top"/>
    </xf>
    <xf numFmtId="171" fontId="13" fillId="5" borderId="4" xfId="1" applyNumberFormat="1" applyFont="1" applyFill="1" applyBorder="1" applyAlignment="1">
      <alignment vertical="top"/>
    </xf>
    <xf numFmtId="171" fontId="8" fillId="5" borderId="12" xfId="1" applyNumberFormat="1" applyFont="1" applyFill="1" applyBorder="1"/>
    <xf numFmtId="171" fontId="8" fillId="5" borderId="5" xfId="1" applyNumberFormat="1" applyFont="1" applyFill="1" applyBorder="1"/>
    <xf numFmtId="171" fontId="8" fillId="5" borderId="5" xfId="1" applyNumberFormat="1" applyFont="1" applyFill="1" applyBorder="1" applyAlignment="1">
      <alignment vertical="top"/>
    </xf>
    <xf numFmtId="168" fontId="14" fillId="5" borderId="4" xfId="0" applyNumberFormat="1" applyFont="1" applyFill="1" applyBorder="1" applyAlignment="1">
      <alignment vertical="top"/>
    </xf>
    <xf numFmtId="168" fontId="15" fillId="5" borderId="12" xfId="11" applyNumberFormat="1" applyFont="1" applyFill="1" applyBorder="1"/>
    <xf numFmtId="168" fontId="15" fillId="5" borderId="5" xfId="11" applyNumberFormat="1" applyFont="1" applyFill="1" applyBorder="1"/>
    <xf numFmtId="168" fontId="15" fillId="5" borderId="5" xfId="0" applyNumberFormat="1" applyFont="1" applyFill="1" applyBorder="1" applyAlignment="1">
      <alignment vertical="top"/>
    </xf>
    <xf numFmtId="171" fontId="14" fillId="5" borderId="4" xfId="1" applyNumberFormat="1" applyFont="1" applyFill="1" applyBorder="1" applyAlignment="1">
      <alignment vertical="top"/>
    </xf>
    <xf numFmtId="171" fontId="15" fillId="5" borderId="12" xfId="1" applyNumberFormat="1" applyFont="1" applyFill="1" applyBorder="1"/>
    <xf numFmtId="171" fontId="15" fillId="5" borderId="5" xfId="1" applyNumberFormat="1" applyFont="1" applyFill="1" applyBorder="1"/>
    <xf numFmtId="171" fontId="15" fillId="5" borderId="5" xfId="1" applyNumberFormat="1" applyFont="1" applyFill="1" applyBorder="1" applyAlignment="1">
      <alignment vertical="top"/>
    </xf>
    <xf numFmtId="168" fontId="15" fillId="5" borderId="10" xfId="11" applyNumberFormat="1" applyFont="1" applyFill="1" applyBorder="1"/>
    <xf numFmtId="168" fontId="15" fillId="5" borderId="8" xfId="11" applyNumberFormat="1" applyFont="1" applyFill="1" applyBorder="1"/>
    <xf numFmtId="171" fontId="15" fillId="5" borderId="10" xfId="1" applyNumberFormat="1" applyFont="1" applyFill="1" applyBorder="1"/>
    <xf numFmtId="171" fontId="15" fillId="5" borderId="8" xfId="1" applyNumberFormat="1" applyFont="1" applyFill="1" applyBorder="1"/>
    <xf numFmtId="168" fontId="13" fillId="5" borderId="9" xfId="0" applyNumberFormat="1" applyFont="1" applyFill="1" applyBorder="1" applyAlignment="1">
      <alignment vertical="top"/>
    </xf>
    <xf numFmtId="168" fontId="13" fillId="5" borderId="10" xfId="0" applyNumberFormat="1" applyFont="1" applyFill="1" applyBorder="1" applyAlignment="1">
      <alignment vertical="top"/>
    </xf>
    <xf numFmtId="171" fontId="13" fillId="5" borderId="9" xfId="1" applyNumberFormat="1" applyFont="1" applyFill="1" applyBorder="1" applyAlignment="1">
      <alignment vertical="top"/>
    </xf>
    <xf numFmtId="171" fontId="13" fillId="5" borderId="12" xfId="1" applyNumberFormat="1" applyFont="1" applyFill="1" applyBorder="1" applyAlignment="1">
      <alignment vertical="top"/>
    </xf>
    <xf numFmtId="171" fontId="13" fillId="5" borderId="10" xfId="1" applyNumberFormat="1" applyFont="1" applyFill="1" applyBorder="1" applyAlignment="1">
      <alignment vertical="top"/>
    </xf>
    <xf numFmtId="168" fontId="8" fillId="5" borderId="12" xfId="0" applyNumberFormat="1" applyFont="1" applyFill="1" applyBorder="1" applyAlignment="1">
      <alignment vertical="top"/>
    </xf>
    <xf numFmtId="168" fontId="13" fillId="5" borderId="3" xfId="0" applyNumberFormat="1" applyFont="1" applyFill="1" applyBorder="1" applyAlignment="1">
      <alignment vertical="top"/>
    </xf>
    <xf numFmtId="171" fontId="13" fillId="5" borderId="3" xfId="1" applyNumberFormat="1" applyFont="1" applyFill="1" applyBorder="1" applyAlignment="1">
      <alignment vertical="top"/>
    </xf>
    <xf numFmtId="168" fontId="13" fillId="5" borderId="5" xfId="0" applyNumberFormat="1" applyFont="1" applyFill="1" applyBorder="1" applyAlignment="1">
      <alignment vertical="top"/>
    </xf>
    <xf numFmtId="171" fontId="13" fillId="5" borderId="5" xfId="1" applyNumberFormat="1" applyFont="1" applyFill="1" applyBorder="1" applyAlignment="1">
      <alignment vertical="top"/>
    </xf>
    <xf numFmtId="168" fontId="13" fillId="5" borderId="6" xfId="0" applyNumberFormat="1" applyFont="1" applyFill="1" applyBorder="1" applyAlignment="1">
      <alignment vertical="top"/>
    </xf>
    <xf numFmtId="168" fontId="8" fillId="5" borderId="10" xfId="11" applyNumberFormat="1" applyFont="1" applyFill="1" applyBorder="1"/>
    <xf numFmtId="168" fontId="13" fillId="5" borderId="8" xfId="0" applyNumberFormat="1" applyFont="1" applyFill="1" applyBorder="1" applyAlignment="1">
      <alignment vertical="top"/>
    </xf>
    <xf numFmtId="171" fontId="13" fillId="5" borderId="6" xfId="1" applyNumberFormat="1" applyFont="1" applyFill="1" applyBorder="1" applyAlignment="1">
      <alignment vertical="top"/>
    </xf>
    <xf numFmtId="171" fontId="8" fillId="5" borderId="10" xfId="1" applyNumberFormat="1" applyFont="1" applyFill="1" applyBorder="1"/>
    <xf numFmtId="171" fontId="13" fillId="5" borderId="8" xfId="1" applyNumberFormat="1" applyFont="1" applyFill="1" applyBorder="1" applyAlignment="1">
      <alignment vertical="top"/>
    </xf>
    <xf numFmtId="166" fontId="13" fillId="5" borderId="13" xfId="0" applyNumberFormat="1" applyFont="1" applyFill="1" applyBorder="1" applyAlignment="1">
      <alignment vertical="top"/>
    </xf>
    <xf numFmtId="166" fontId="13" fillId="5" borderId="9" xfId="11" applyNumberFormat="1" applyFont="1" applyFill="1" applyBorder="1"/>
    <xf numFmtId="166" fontId="13" fillId="5" borderId="15" xfId="11" applyNumberFormat="1" applyFont="1" applyFill="1" applyBorder="1"/>
    <xf numFmtId="166" fontId="13" fillId="5" borderId="15" xfId="0" applyNumberFormat="1" applyFont="1" applyFill="1" applyBorder="1" applyAlignment="1">
      <alignment vertical="top"/>
    </xf>
    <xf numFmtId="171" fontId="13" fillId="5" borderId="11" xfId="1" applyNumberFormat="1" applyFont="1" applyFill="1" applyBorder="1" applyAlignment="1">
      <alignment vertical="top"/>
    </xf>
    <xf numFmtId="171" fontId="8" fillId="5" borderId="12" xfId="1" applyNumberFormat="1" applyFont="1" applyFill="1" applyBorder="1" applyAlignment="1">
      <alignment vertical="top"/>
    </xf>
    <xf numFmtId="168" fontId="15" fillId="5" borderId="12" xfId="0" applyNumberFormat="1" applyFont="1" applyFill="1" applyBorder="1" applyAlignment="1">
      <alignment vertical="top"/>
    </xf>
    <xf numFmtId="171" fontId="15" fillId="5" borderId="12" xfId="1" applyNumberFormat="1" applyFont="1" applyFill="1" applyBorder="1" applyAlignment="1">
      <alignment vertical="top"/>
    </xf>
    <xf numFmtId="168" fontId="13" fillId="5" borderId="9" xfId="0" applyNumberFormat="1" applyFont="1" applyFill="1" applyBorder="1" applyAlignment="1">
      <alignment vertical="top" wrapText="1"/>
    </xf>
    <xf numFmtId="168" fontId="13" fillId="5" borderId="11" xfId="0" applyNumberFormat="1" applyFont="1" applyFill="1" applyBorder="1" applyAlignment="1">
      <alignment vertical="top" wrapText="1"/>
    </xf>
    <xf numFmtId="168" fontId="13" fillId="5" borderId="10" xfId="0" applyNumberFormat="1" applyFont="1" applyFill="1" applyBorder="1" applyAlignment="1">
      <alignment vertical="top" wrapText="1"/>
    </xf>
    <xf numFmtId="171" fontId="13" fillId="5" borderId="9" xfId="1" applyNumberFormat="1" applyFont="1" applyFill="1" applyBorder="1" applyAlignment="1">
      <alignment vertical="top" wrapText="1"/>
    </xf>
    <xf numFmtId="171" fontId="13" fillId="5" borderId="11" xfId="1" applyNumberFormat="1" applyFont="1" applyFill="1" applyBorder="1" applyAlignment="1">
      <alignment vertical="top" wrapText="1"/>
    </xf>
    <xf numFmtId="171" fontId="13" fillId="5" borderId="10" xfId="1" applyNumberFormat="1" applyFont="1" applyFill="1" applyBorder="1" applyAlignment="1">
      <alignment vertical="top" wrapText="1"/>
    </xf>
    <xf numFmtId="168" fontId="13" fillId="5" borderId="4" xfId="12" applyNumberFormat="1" applyFont="1" applyFill="1" applyBorder="1" applyAlignment="1">
      <alignment vertical="top"/>
    </xf>
    <xf numFmtId="168" fontId="8" fillId="5" borderId="12" xfId="12" applyNumberFormat="1" applyFont="1" applyFill="1" applyBorder="1" applyAlignment="1">
      <alignment vertical="top"/>
    </xf>
    <xf numFmtId="166" fontId="17" fillId="5" borderId="4" xfId="0" applyNumberFormat="1" applyFont="1" applyFill="1" applyBorder="1" applyAlignment="1">
      <alignment vertical="top"/>
    </xf>
    <xf numFmtId="166" fontId="18" fillId="5" borderId="5" xfId="0" applyNumberFormat="1" applyFont="1" applyFill="1" applyBorder="1" applyAlignment="1">
      <alignment vertical="top"/>
    </xf>
    <xf numFmtId="168" fontId="17" fillId="5" borderId="4" xfId="12" applyNumberFormat="1" applyFont="1" applyFill="1" applyBorder="1" applyAlignment="1">
      <alignment vertical="top"/>
    </xf>
    <xf numFmtId="168" fontId="18" fillId="5" borderId="12" xfId="11" applyNumberFormat="1" applyFont="1" applyFill="1" applyBorder="1"/>
    <xf numFmtId="168" fontId="18" fillId="5" borderId="12" xfId="12" applyNumberFormat="1" applyFont="1" applyFill="1" applyBorder="1" applyAlignment="1">
      <alignment vertical="top"/>
    </xf>
    <xf numFmtId="171" fontId="17" fillId="5" borderId="4" xfId="1" applyNumberFormat="1" applyFont="1" applyFill="1" applyBorder="1" applyAlignment="1">
      <alignment vertical="top"/>
    </xf>
    <xf numFmtId="171" fontId="18" fillId="5" borderId="12" xfId="1" applyNumberFormat="1" applyFont="1" applyFill="1" applyBorder="1"/>
    <xf numFmtId="171" fontId="18" fillId="5" borderId="12" xfId="1" applyNumberFormat="1" applyFont="1" applyFill="1" applyBorder="1" applyAlignment="1">
      <alignment vertical="top"/>
    </xf>
    <xf numFmtId="168" fontId="12" fillId="5" borderId="11" xfId="0" applyNumberFormat="1" applyFont="1" applyFill="1" applyBorder="1"/>
    <xf numFmtId="171" fontId="12" fillId="5" borderId="11" xfId="1" applyNumberFormat="1" applyFont="1" applyFill="1" applyBorder="1"/>
    <xf numFmtId="171" fontId="13" fillId="5" borderId="14" xfId="1" applyNumberFormat="1" applyFont="1" applyFill="1" applyBorder="1"/>
    <xf numFmtId="171" fontId="12" fillId="5" borderId="14" xfId="1" applyNumberFormat="1" applyFont="1" applyFill="1" applyBorder="1"/>
    <xf numFmtId="171" fontId="13" fillId="5" borderId="15" xfId="1" applyNumberFormat="1" applyFont="1" applyFill="1" applyBorder="1"/>
    <xf numFmtId="168" fontId="8" fillId="5" borderId="4" xfId="11" applyNumberFormat="1" applyFont="1" applyFill="1" applyBorder="1"/>
    <xf numFmtId="168" fontId="8" fillId="5" borderId="12" xfId="11" applyNumberFormat="1" applyFont="1" applyFill="1" applyBorder="1" applyAlignment="1">
      <alignment vertical="top"/>
    </xf>
    <xf numFmtId="171" fontId="8" fillId="5" borderId="4" xfId="1" applyNumberFormat="1" applyFont="1" applyFill="1" applyBorder="1"/>
    <xf numFmtId="166" fontId="8" fillId="5" borderId="8" xfId="11" applyNumberFormat="1" applyFont="1" applyFill="1" applyBorder="1"/>
    <xf numFmtId="168" fontId="8" fillId="5" borderId="6" xfId="11" applyNumberFormat="1" applyFont="1" applyFill="1" applyBorder="1"/>
    <xf numFmtId="168" fontId="8" fillId="5" borderId="10" xfId="11" applyNumberFormat="1" applyFont="1" applyFill="1" applyBorder="1" applyAlignment="1">
      <alignment vertical="top"/>
    </xf>
    <xf numFmtId="171" fontId="8" fillId="5" borderId="6" xfId="1" applyNumberFormat="1" applyFont="1" applyFill="1" applyBorder="1"/>
    <xf numFmtId="171" fontId="8" fillId="5" borderId="10" xfId="1" applyNumberFormat="1" applyFont="1" applyFill="1" applyBorder="1" applyAlignment="1">
      <alignment vertical="top"/>
    </xf>
    <xf numFmtId="171" fontId="13" fillId="5" borderId="10" xfId="1" applyNumberFormat="1" applyFont="1" applyFill="1" applyBorder="1"/>
    <xf numFmtId="171" fontId="12" fillId="5" borderId="9" xfId="1" applyNumberFormat="1" applyFont="1" applyFill="1" applyBorder="1"/>
    <xf numFmtId="171" fontId="13" fillId="5" borderId="9" xfId="1" applyNumberFormat="1" applyFont="1" applyFill="1" applyBorder="1"/>
    <xf numFmtId="1" fontId="13" fillId="0" borderId="0" xfId="0" applyNumberFormat="1" applyFont="1"/>
    <xf numFmtId="0" fontId="12" fillId="5" borderId="4" xfId="0" applyFont="1" applyFill="1" applyBorder="1" applyAlignment="1">
      <alignment horizontal="center"/>
    </xf>
    <xf numFmtId="43" fontId="13" fillId="5" borderId="13" xfId="0" applyNumberFormat="1" applyFont="1" applyFill="1" applyBorder="1" applyAlignment="1">
      <alignment vertical="top"/>
    </xf>
    <xf numFmtId="166" fontId="18" fillId="5" borderId="12" xfId="11" applyNumberFormat="1" applyFont="1" applyFill="1" applyBorder="1"/>
    <xf numFmtId="166" fontId="18" fillId="5" borderId="5" xfId="11" applyNumberFormat="1" applyFont="1" applyFill="1" applyBorder="1"/>
    <xf numFmtId="43" fontId="12" fillId="5" borderId="9" xfId="0" applyNumberFormat="1" applyFont="1" applyFill="1" applyBorder="1"/>
    <xf numFmtId="166" fontId="8" fillId="5" borderId="8" xfId="0" applyNumberFormat="1" applyFont="1" applyFill="1" applyBorder="1" applyAlignment="1">
      <alignment vertical="top"/>
    </xf>
    <xf numFmtId="43" fontId="13" fillId="5" borderId="15" xfId="0" applyNumberFormat="1" applyFont="1" applyFill="1" applyBorder="1"/>
    <xf numFmtId="172" fontId="13" fillId="0" borderId="0" xfId="11" applyNumberFormat="1" applyFont="1"/>
    <xf numFmtId="168" fontId="9" fillId="0" borderId="0" xfId="0" applyNumberFormat="1" applyFont="1" applyAlignment="1">
      <alignment horizontal="right"/>
    </xf>
    <xf numFmtId="168" fontId="13" fillId="5" borderId="1" xfId="0" applyNumberFormat="1" applyFont="1" applyFill="1" applyBorder="1" applyAlignment="1">
      <alignment horizontal="centerContinuous"/>
    </xf>
    <xf numFmtId="168" fontId="8" fillId="5" borderId="2" xfId="0" applyNumberFormat="1" applyFont="1" applyFill="1" applyBorder="1" applyAlignment="1">
      <alignment horizontal="centerContinuous"/>
    </xf>
    <xf numFmtId="168" fontId="12" fillId="5" borderId="2" xfId="0" applyNumberFormat="1" applyFont="1" applyFill="1" applyBorder="1" applyAlignment="1">
      <alignment horizontal="centerContinuous"/>
    </xf>
    <xf numFmtId="168" fontId="8" fillId="5" borderId="3" xfId="0" applyNumberFormat="1" applyFont="1" applyFill="1" applyBorder="1" applyAlignment="1">
      <alignment horizontal="centerContinuous"/>
    </xf>
    <xf numFmtId="0" fontId="12" fillId="5" borderId="10" xfId="0" applyFont="1" applyFill="1" applyBorder="1" applyAlignment="1">
      <alignment horizontal="center"/>
    </xf>
    <xf numFmtId="0" fontId="12" fillId="5" borderId="7" xfId="0" applyFont="1" applyFill="1" applyBorder="1" applyAlignment="1">
      <alignment horizontal="center"/>
    </xf>
    <xf numFmtId="0" fontId="12" fillId="5" borderId="8" xfId="0" applyFont="1" applyFill="1" applyBorder="1" applyAlignment="1">
      <alignment horizontal="center"/>
    </xf>
    <xf numFmtId="168" fontId="12" fillId="5" borderId="8" xfId="0" applyNumberFormat="1" applyFont="1" applyFill="1" applyBorder="1" applyAlignment="1">
      <alignment horizontal="center" wrapText="1"/>
    </xf>
    <xf numFmtId="168" fontId="8" fillId="5" borderId="11" xfId="0" applyNumberFormat="1" applyFont="1" applyFill="1" applyBorder="1" applyAlignment="1">
      <alignment vertical="top"/>
    </xf>
    <xf numFmtId="168" fontId="14" fillId="5" borderId="12" xfId="0" applyNumberFormat="1" applyFont="1" applyFill="1" applyBorder="1" applyAlignment="1">
      <alignment vertical="top"/>
    </xf>
    <xf numFmtId="168" fontId="13" fillId="5" borderId="0" xfId="0" applyNumberFormat="1" applyFont="1" applyFill="1" applyBorder="1" applyAlignment="1">
      <alignment vertical="top"/>
    </xf>
    <xf numFmtId="168" fontId="8" fillId="5" borderId="0" xfId="0" applyNumberFormat="1" applyFont="1" applyFill="1" applyBorder="1" applyAlignment="1">
      <alignment vertical="top"/>
    </xf>
    <xf numFmtId="168" fontId="14" fillId="5" borderId="0" xfId="0" applyNumberFormat="1" applyFont="1" applyFill="1" applyBorder="1" applyAlignment="1">
      <alignment vertical="top"/>
    </xf>
    <xf numFmtId="168" fontId="15" fillId="5" borderId="0" xfId="0" applyNumberFormat="1" applyFont="1" applyFill="1" applyBorder="1" applyAlignment="1">
      <alignment vertical="top"/>
    </xf>
    <xf numFmtId="168" fontId="13" fillId="5" borderId="0" xfId="12" applyNumberFormat="1" applyFont="1" applyFill="1" applyBorder="1" applyAlignment="1">
      <alignment vertical="top"/>
    </xf>
    <xf numFmtId="168" fontId="8" fillId="5" borderId="0" xfId="12" applyNumberFormat="1" applyFont="1" applyFill="1" applyBorder="1" applyAlignment="1">
      <alignment vertical="top"/>
    </xf>
    <xf numFmtId="0" fontId="12" fillId="0" borderId="9" xfId="0" applyFont="1" applyFill="1" applyBorder="1"/>
    <xf numFmtId="0" fontId="10" fillId="0" borderId="0" xfId="0" applyFont="1" applyAlignment="1">
      <alignment horizontal="center" vertical="center"/>
    </xf>
    <xf numFmtId="0" fontId="10" fillId="0" borderId="1" xfId="0" applyFont="1" applyFill="1" applyBorder="1"/>
    <xf numFmtId="0" fontId="8" fillId="6" borderId="3" xfId="0" applyFont="1" applyFill="1" applyBorder="1" applyAlignment="1">
      <alignment horizontal="center"/>
    </xf>
    <xf numFmtId="0" fontId="8" fillId="0" borderId="4" xfId="0" applyFont="1" applyFill="1" applyBorder="1"/>
    <xf numFmtId="0" fontId="12" fillId="6" borderId="8" xfId="0" applyFont="1" applyFill="1" applyBorder="1" applyAlignment="1">
      <alignment horizontal="center" vertical="center"/>
    </xf>
    <xf numFmtId="0" fontId="12" fillId="0" borderId="4" xfId="0" applyFont="1" applyFill="1" applyBorder="1"/>
    <xf numFmtId="0" fontId="12" fillId="6" borderId="6" xfId="0" applyFont="1" applyFill="1" applyBorder="1" applyAlignment="1">
      <alignment horizontal="center"/>
    </xf>
    <xf numFmtId="0" fontId="12" fillId="6" borderId="10" xfId="0" applyFont="1" applyFill="1" applyBorder="1" applyAlignment="1">
      <alignment horizontal="center"/>
    </xf>
    <xf numFmtId="0" fontId="12" fillId="6" borderId="7" xfId="0" applyFont="1" applyFill="1" applyBorder="1" applyAlignment="1">
      <alignment horizontal="center"/>
    </xf>
    <xf numFmtId="0" fontId="12" fillId="6" borderId="8" xfId="0" applyFont="1" applyFill="1" applyBorder="1" applyAlignment="1">
      <alignment horizontal="center"/>
    </xf>
    <xf numFmtId="0" fontId="12" fillId="6" borderId="8" xfId="0" applyFont="1" applyFill="1" applyBorder="1" applyAlignment="1">
      <alignment horizontal="center" wrapText="1"/>
    </xf>
    <xf numFmtId="0" fontId="20" fillId="0" borderId="12" xfId="0" applyFont="1" applyBorder="1"/>
    <xf numFmtId="0" fontId="20" fillId="0" borderId="15" xfId="0" applyFont="1" applyBorder="1" applyAlignment="1">
      <alignment horizontal="center"/>
    </xf>
    <xf numFmtId="166" fontId="8" fillId="3" borderId="15" xfId="0" applyNumberFormat="1" applyFont="1" applyFill="1" applyBorder="1" applyAlignment="1">
      <alignment vertical="top"/>
    </xf>
    <xf numFmtId="166" fontId="8" fillId="3" borderId="9" xfId="0" applyNumberFormat="1" applyFont="1" applyFill="1" applyBorder="1" applyAlignment="1">
      <alignment vertical="top"/>
    </xf>
    <xf numFmtId="166" fontId="13" fillId="3" borderId="9" xfId="0" applyNumberFormat="1" applyFont="1" applyFill="1" applyBorder="1" applyAlignment="1">
      <alignment vertical="top"/>
    </xf>
    <xf numFmtId="166" fontId="8" fillId="0" borderId="9" xfId="0" applyNumberFormat="1" applyFont="1" applyFill="1" applyBorder="1" applyAlignment="1">
      <alignment vertical="top"/>
    </xf>
    <xf numFmtId="173" fontId="13" fillId="6" borderId="9" xfId="0" applyNumberFormat="1" applyFont="1" applyFill="1" applyBorder="1" applyAlignment="1">
      <alignment horizontal="right"/>
    </xf>
    <xf numFmtId="0" fontId="6" fillId="0" borderId="12" xfId="0" applyFont="1" applyBorder="1" applyAlignment="1">
      <alignment vertical="center"/>
    </xf>
    <xf numFmtId="1" fontId="21" fillId="0" borderId="15" xfId="14" applyNumberFormat="1" applyFont="1" applyFill="1" applyBorder="1" applyAlignment="1">
      <alignment horizontal="center" vertical="center"/>
    </xf>
    <xf numFmtId="173" fontId="22" fillId="6" borderId="15" xfId="0" applyNumberFormat="1" applyFont="1" applyFill="1" applyBorder="1" applyAlignment="1">
      <alignment horizontal="right" vertical="center"/>
    </xf>
    <xf numFmtId="173" fontId="8" fillId="4" borderId="9" xfId="11" applyNumberFormat="1" applyFont="1" applyFill="1" applyBorder="1"/>
    <xf numFmtId="173" fontId="23" fillId="6" borderId="9" xfId="0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vertical="center"/>
    </xf>
    <xf numFmtId="173" fontId="22" fillId="0" borderId="11" xfId="0" applyNumberFormat="1" applyFont="1" applyFill="1" applyBorder="1" applyAlignment="1">
      <alignment horizontal="right" vertical="center"/>
    </xf>
    <xf numFmtId="173" fontId="22" fillId="3" borderId="11" xfId="0" applyNumberFormat="1" applyFont="1" applyFill="1" applyBorder="1" applyAlignment="1">
      <alignment horizontal="right" vertical="center"/>
    </xf>
    <xf numFmtId="173" fontId="23" fillId="3" borderId="11" xfId="13" applyNumberFormat="1" applyFont="1" applyFill="1" applyBorder="1" applyAlignment="1">
      <alignment horizontal="right" vertical="center"/>
    </xf>
    <xf numFmtId="173" fontId="22" fillId="3" borderId="11" xfId="13" applyNumberFormat="1" applyFont="1" applyFill="1" applyBorder="1" applyAlignment="1">
      <alignment horizontal="right" vertical="center"/>
    </xf>
    <xf numFmtId="173" fontId="22" fillId="0" borderId="11" xfId="13" applyNumberFormat="1" applyFont="1" applyFill="1" applyBorder="1" applyAlignment="1">
      <alignment horizontal="right" vertical="center"/>
    </xf>
    <xf numFmtId="173" fontId="23" fillId="6" borderId="11" xfId="0" applyNumberFormat="1" applyFont="1" applyFill="1" applyBorder="1" applyAlignment="1">
      <alignment horizontal="right" vertical="center"/>
    </xf>
    <xf numFmtId="0" fontId="20" fillId="0" borderId="4" xfId="0" applyFont="1" applyBorder="1" applyAlignment="1">
      <alignment vertical="center"/>
    </xf>
    <xf numFmtId="166" fontId="22" fillId="0" borderId="10" xfId="0" applyNumberFormat="1" applyFont="1" applyFill="1" applyBorder="1" applyAlignment="1">
      <alignment horizontal="right" vertical="center"/>
    </xf>
    <xf numFmtId="166" fontId="22" fillId="3" borderId="10" xfId="0" applyNumberFormat="1" applyFont="1" applyFill="1" applyBorder="1" applyAlignment="1">
      <alignment horizontal="right" vertical="center"/>
    </xf>
    <xf numFmtId="173" fontId="23" fillId="3" borderId="10" xfId="13" applyNumberFormat="1" applyFont="1" applyFill="1" applyBorder="1" applyAlignment="1">
      <alignment horizontal="right" vertical="center"/>
    </xf>
    <xf numFmtId="173" fontId="22" fillId="3" borderId="10" xfId="13" applyNumberFormat="1" applyFont="1" applyFill="1" applyBorder="1" applyAlignment="1">
      <alignment horizontal="right" vertical="center"/>
    </xf>
    <xf numFmtId="173" fontId="22" fillId="0" borderId="10" xfId="13" applyNumberFormat="1" applyFont="1" applyFill="1" applyBorder="1" applyAlignment="1">
      <alignment horizontal="right" vertical="center"/>
    </xf>
    <xf numFmtId="173" fontId="23" fillId="6" borderId="10" xfId="0" applyNumberFormat="1" applyFont="1" applyFill="1" applyBorder="1" applyAlignment="1">
      <alignment horizontal="right" vertical="center"/>
    </xf>
    <xf numFmtId="0" fontId="6" fillId="0" borderId="15" xfId="0" applyFont="1" applyBorder="1" applyAlignment="1">
      <alignment horizontal="center" vertical="center"/>
    </xf>
    <xf numFmtId="167" fontId="24" fillId="6" borderId="15" xfId="15" applyFont="1" applyFill="1" applyBorder="1" applyAlignment="1">
      <alignment horizontal="right" vertical="center"/>
    </xf>
    <xf numFmtId="166" fontId="8" fillId="4" borderId="9" xfId="11" applyNumberFormat="1" applyFont="1" applyFill="1" applyBorder="1"/>
    <xf numFmtId="173" fontId="25" fillId="6" borderId="9" xfId="0" applyNumberFormat="1" applyFont="1" applyFill="1" applyBorder="1" applyAlignment="1">
      <alignment horizontal="right" vertical="center"/>
    </xf>
    <xf numFmtId="173" fontId="22" fillId="6" borderId="9" xfId="0" applyNumberFormat="1" applyFont="1" applyFill="1" applyBorder="1" applyAlignment="1">
      <alignment horizontal="right" vertical="center"/>
    </xf>
    <xf numFmtId="1" fontId="21" fillId="0" borderId="9" xfId="14" applyNumberFormat="1" applyFont="1" applyFill="1" applyBorder="1" applyAlignment="1">
      <alignment horizontal="center" vertical="center"/>
    </xf>
    <xf numFmtId="173" fontId="22" fillId="6" borderId="16" xfId="0" applyNumberFormat="1" applyFont="1" applyFill="1" applyBorder="1" applyAlignment="1">
      <alignment horizontal="right" vertical="center"/>
    </xf>
    <xf numFmtId="173" fontId="8" fillId="4" borderId="17" xfId="11" applyNumberFormat="1" applyFont="1" applyFill="1" applyBorder="1"/>
    <xf numFmtId="173" fontId="23" fillId="6" borderId="16" xfId="0" applyNumberFormat="1" applyFont="1" applyFill="1" applyBorder="1" applyAlignment="1">
      <alignment horizontal="right" vertical="center"/>
    </xf>
    <xf numFmtId="1" fontId="21" fillId="0" borderId="8" xfId="14" applyNumberFormat="1" applyFont="1" applyFill="1" applyBorder="1" applyAlignment="1">
      <alignment horizontal="center" vertical="center"/>
    </xf>
    <xf numFmtId="173" fontId="22" fillId="6" borderId="8" xfId="0" applyNumberFormat="1" applyFont="1" applyFill="1" applyBorder="1" applyAlignment="1">
      <alignment horizontal="right" vertical="center"/>
    </xf>
    <xf numFmtId="173" fontId="8" fillId="4" borderId="10" xfId="11" applyNumberFormat="1" applyFont="1" applyFill="1" applyBorder="1"/>
    <xf numFmtId="0" fontId="20" fillId="0" borderId="12" xfId="0" applyFont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12" fillId="6" borderId="8" xfId="0" applyFont="1" applyFill="1" applyBorder="1" applyAlignment="1">
      <alignment vertical="center"/>
    </xf>
    <xf numFmtId="0" fontId="12" fillId="0" borderId="11" xfId="0" applyFont="1" applyBorder="1" applyAlignment="1">
      <alignment horizontal="center"/>
    </xf>
    <xf numFmtId="166" fontId="8" fillId="6" borderId="15" xfId="0" applyNumberFormat="1" applyFont="1" applyFill="1" applyBorder="1" applyAlignment="1">
      <alignment vertical="top"/>
    </xf>
    <xf numFmtId="166" fontId="8" fillId="6" borderId="9" xfId="0" applyNumberFormat="1" applyFont="1" applyFill="1" applyBorder="1" applyAlignment="1">
      <alignment vertical="top"/>
    </xf>
    <xf numFmtId="174" fontId="13" fillId="6" borderId="9" xfId="0" applyNumberFormat="1" applyFont="1" applyFill="1" applyBorder="1" applyAlignment="1">
      <alignment vertical="top"/>
    </xf>
    <xf numFmtId="174" fontId="8" fillId="6" borderId="9" xfId="0" applyNumberFormat="1" applyFont="1" applyFill="1" applyBorder="1" applyAlignment="1">
      <alignment vertical="top"/>
    </xf>
    <xf numFmtId="174" fontId="13" fillId="6" borderId="9" xfId="0" applyNumberFormat="1" applyFont="1" applyFill="1" applyBorder="1" applyAlignment="1">
      <alignment horizontal="right"/>
    </xf>
    <xf numFmtId="174" fontId="23" fillId="6" borderId="9" xfId="0" applyNumberFormat="1" applyFont="1" applyFill="1" applyBorder="1" applyAlignment="1">
      <alignment horizontal="right" vertical="center"/>
    </xf>
    <xf numFmtId="174" fontId="22" fillId="6" borderId="9" xfId="0" applyNumberFormat="1" applyFont="1" applyFill="1" applyBorder="1" applyAlignment="1">
      <alignment horizontal="right" vertical="center"/>
    </xf>
    <xf numFmtId="9" fontId="22" fillId="6" borderId="9" xfId="16" applyFont="1" applyFill="1" applyBorder="1" applyAlignment="1">
      <alignment horizontal="right" vertical="center"/>
    </xf>
    <xf numFmtId="9" fontId="23" fillId="6" borderId="9" xfId="16" applyFont="1" applyFill="1" applyBorder="1" applyAlignment="1">
      <alignment horizontal="right" vertical="center"/>
    </xf>
    <xf numFmtId="173" fontId="23" fillId="0" borderId="11" xfId="0" applyNumberFormat="1" applyFont="1" applyFill="1" applyBorder="1" applyAlignment="1">
      <alignment horizontal="right" vertical="center"/>
    </xf>
    <xf numFmtId="174" fontId="23" fillId="0" borderId="11" xfId="0" applyNumberFormat="1" applyFont="1" applyFill="1" applyBorder="1" applyAlignment="1">
      <alignment horizontal="right" vertical="center"/>
    </xf>
    <xf numFmtId="174" fontId="22" fillId="0" borderId="11" xfId="0" applyNumberFormat="1" applyFont="1" applyFill="1" applyBorder="1" applyAlignment="1">
      <alignment horizontal="right" vertical="center"/>
    </xf>
    <xf numFmtId="9" fontId="22" fillId="0" borderId="11" xfId="16" applyFont="1" applyFill="1" applyBorder="1" applyAlignment="1">
      <alignment horizontal="right" vertical="center"/>
    </xf>
    <xf numFmtId="9" fontId="23" fillId="0" borderId="11" xfId="16" applyFont="1" applyFill="1" applyBorder="1" applyAlignment="1">
      <alignment horizontal="right" vertical="center"/>
    </xf>
    <xf numFmtId="173" fontId="23" fillId="0" borderId="10" xfId="0" applyNumberFormat="1" applyFont="1" applyFill="1" applyBorder="1" applyAlignment="1">
      <alignment horizontal="right" vertical="center"/>
    </xf>
    <xf numFmtId="174" fontId="23" fillId="0" borderId="10" xfId="0" applyNumberFormat="1" applyFont="1" applyFill="1" applyBorder="1" applyAlignment="1">
      <alignment horizontal="right" vertical="center"/>
    </xf>
    <xf numFmtId="174" fontId="22" fillId="0" borderId="10" xfId="0" applyNumberFormat="1" applyFont="1" applyFill="1" applyBorder="1" applyAlignment="1">
      <alignment horizontal="right" vertical="center"/>
    </xf>
    <xf numFmtId="9" fontId="22" fillId="0" borderId="10" xfId="16" applyFont="1" applyFill="1" applyBorder="1" applyAlignment="1">
      <alignment horizontal="right" vertical="center"/>
    </xf>
    <xf numFmtId="9" fontId="23" fillId="0" borderId="10" xfId="16" applyFont="1" applyFill="1" applyBorder="1" applyAlignment="1">
      <alignment horizontal="right" vertical="center"/>
    </xf>
    <xf numFmtId="174" fontId="25" fillId="6" borderId="9" xfId="15" applyNumberFormat="1" applyFont="1" applyFill="1" applyBorder="1" applyAlignment="1">
      <alignment horizontal="right" vertical="center"/>
    </xf>
    <xf numFmtId="174" fontId="24" fillId="6" borderId="9" xfId="15" applyNumberFormat="1" applyFont="1" applyFill="1" applyBorder="1" applyAlignment="1">
      <alignment horizontal="right" vertical="center"/>
    </xf>
    <xf numFmtId="174" fontId="25" fillId="6" borderId="9" xfId="0" applyNumberFormat="1" applyFont="1" applyFill="1" applyBorder="1" applyAlignment="1">
      <alignment horizontal="right" vertical="center"/>
    </xf>
    <xf numFmtId="9" fontId="24" fillId="6" borderId="9" xfId="16" applyFont="1" applyFill="1" applyBorder="1" applyAlignment="1">
      <alignment horizontal="right" vertical="center"/>
    </xf>
    <xf numFmtId="9" fontId="25" fillId="6" borderId="9" xfId="16" applyFont="1" applyFill="1" applyBorder="1" applyAlignment="1">
      <alignment horizontal="right" vertical="center"/>
    </xf>
    <xf numFmtId="174" fontId="23" fillId="6" borderId="16" xfId="0" applyNumberFormat="1" applyFont="1" applyFill="1" applyBorder="1" applyAlignment="1">
      <alignment horizontal="right" vertical="center"/>
    </xf>
    <xf numFmtId="174" fontId="22" fillId="6" borderId="16" xfId="0" applyNumberFormat="1" applyFont="1" applyFill="1" applyBorder="1" applyAlignment="1">
      <alignment horizontal="right" vertical="center"/>
    </xf>
    <xf numFmtId="9" fontId="22" fillId="6" borderId="16" xfId="16" applyFont="1" applyFill="1" applyBorder="1" applyAlignment="1">
      <alignment horizontal="right" vertical="center"/>
    </xf>
    <xf numFmtId="9" fontId="23" fillId="6" borderId="16" xfId="16" applyFont="1" applyFill="1" applyBorder="1" applyAlignment="1">
      <alignment horizontal="right" vertical="center"/>
    </xf>
    <xf numFmtId="174" fontId="23" fillId="6" borderId="10" xfId="0" applyNumberFormat="1" applyFont="1" applyFill="1" applyBorder="1" applyAlignment="1">
      <alignment horizontal="right" vertical="center"/>
    </xf>
    <xf numFmtId="174" fontId="22" fillId="6" borderId="10" xfId="0" applyNumberFormat="1" applyFont="1" applyFill="1" applyBorder="1" applyAlignment="1">
      <alignment horizontal="right" vertical="center"/>
    </xf>
    <xf numFmtId="9" fontId="22" fillId="6" borderId="10" xfId="16" applyFont="1" applyFill="1" applyBorder="1" applyAlignment="1">
      <alignment horizontal="right" vertical="center"/>
    </xf>
    <xf numFmtId="9" fontId="23" fillId="6" borderId="10" xfId="16" applyFont="1" applyFill="1" applyBorder="1" applyAlignment="1">
      <alignment horizontal="right" vertical="center"/>
    </xf>
    <xf numFmtId="173" fontId="8" fillId="0" borderId="0" xfId="0" applyNumberFormat="1" applyFont="1"/>
    <xf numFmtId="0" fontId="8" fillId="6" borderId="1" xfId="0" applyFont="1" applyFill="1" applyBorder="1" applyAlignment="1">
      <alignment horizontal="centerContinuous"/>
    </xf>
    <xf numFmtId="0" fontId="8" fillId="6" borderId="2" xfId="0" applyFont="1" applyFill="1" applyBorder="1" applyAlignment="1">
      <alignment horizontal="centerContinuous"/>
    </xf>
    <xf numFmtId="0" fontId="12" fillId="6" borderId="2" xfId="0" applyFont="1" applyFill="1" applyBorder="1" applyAlignment="1">
      <alignment horizontal="centerContinuous"/>
    </xf>
    <xf numFmtId="0" fontId="8" fillId="6" borderId="3" xfId="0" applyFont="1" applyFill="1" applyBorder="1" applyAlignment="1">
      <alignment horizontal="centerContinuous"/>
    </xf>
    <xf numFmtId="166" fontId="13" fillId="6" borderId="9" xfId="0" applyNumberFormat="1" applyFont="1" applyFill="1" applyBorder="1" applyAlignment="1">
      <alignment vertical="top"/>
    </xf>
    <xf numFmtId="175" fontId="22" fillId="6" borderId="15" xfId="0" applyNumberFormat="1" applyFont="1" applyFill="1" applyBorder="1" applyAlignment="1">
      <alignment horizontal="right" vertical="center"/>
    </xf>
    <xf numFmtId="175" fontId="22" fillId="6" borderId="9" xfId="0" applyNumberFormat="1" applyFont="1" applyFill="1" applyBorder="1" applyAlignment="1">
      <alignment horizontal="right" vertical="center"/>
    </xf>
    <xf numFmtId="175" fontId="23" fillId="6" borderId="9" xfId="0" applyNumberFormat="1" applyFont="1" applyFill="1" applyBorder="1" applyAlignment="1">
      <alignment horizontal="right" vertical="center"/>
    </xf>
    <xf numFmtId="171" fontId="22" fillId="6" borderId="15" xfId="16" applyNumberFormat="1" applyFont="1" applyFill="1" applyBorder="1" applyAlignment="1">
      <alignment horizontal="right" vertical="center"/>
    </xf>
    <xf numFmtId="171" fontId="22" fillId="6" borderId="9" xfId="16" applyNumberFormat="1" applyFont="1" applyFill="1" applyBorder="1" applyAlignment="1">
      <alignment horizontal="right" vertical="center"/>
    </xf>
    <xf numFmtId="171" fontId="23" fillId="6" borderId="9" xfId="16" applyNumberFormat="1" applyFont="1" applyFill="1" applyBorder="1" applyAlignment="1">
      <alignment horizontal="right" vertical="center"/>
    </xf>
    <xf numFmtId="175" fontId="22" fillId="0" borderId="11" xfId="0" applyNumberFormat="1" applyFont="1" applyFill="1" applyBorder="1" applyAlignment="1">
      <alignment horizontal="right" vertical="center"/>
    </xf>
    <xf numFmtId="175" fontId="23" fillId="0" borderId="11" xfId="0" applyNumberFormat="1" applyFont="1" applyFill="1" applyBorder="1" applyAlignment="1">
      <alignment horizontal="right" vertical="center"/>
    </xf>
    <xf numFmtId="171" fontId="22" fillId="0" borderId="11" xfId="16" applyNumberFormat="1" applyFont="1" applyFill="1" applyBorder="1" applyAlignment="1">
      <alignment horizontal="right" vertical="center"/>
    </xf>
    <xf numFmtId="171" fontId="23" fillId="0" borderId="11" xfId="16" applyNumberFormat="1" applyFont="1" applyFill="1" applyBorder="1" applyAlignment="1">
      <alignment horizontal="right" vertical="center"/>
    </xf>
    <xf numFmtId="175" fontId="22" fillId="0" borderId="10" xfId="0" applyNumberFormat="1" applyFont="1" applyFill="1" applyBorder="1" applyAlignment="1">
      <alignment horizontal="right" vertical="center"/>
    </xf>
    <xf numFmtId="175" fontId="23" fillId="0" borderId="10" xfId="0" applyNumberFormat="1" applyFont="1" applyFill="1" applyBorder="1" applyAlignment="1">
      <alignment horizontal="right" vertical="center"/>
    </xf>
    <xf numFmtId="171" fontId="22" fillId="0" borderId="10" xfId="16" applyNumberFormat="1" applyFont="1" applyFill="1" applyBorder="1" applyAlignment="1">
      <alignment horizontal="right" vertical="center"/>
    </xf>
    <xf numFmtId="171" fontId="23" fillId="0" borderId="10" xfId="16" applyNumberFormat="1" applyFont="1" applyFill="1" applyBorder="1" applyAlignment="1">
      <alignment horizontal="right" vertical="center"/>
    </xf>
    <xf numFmtId="175" fontId="24" fillId="6" borderId="15" xfId="15" applyNumberFormat="1" applyFont="1" applyFill="1" applyBorder="1" applyAlignment="1">
      <alignment horizontal="right" vertical="center"/>
    </xf>
    <xf numFmtId="175" fontId="24" fillId="6" borderId="9" xfId="15" applyNumberFormat="1" applyFont="1" applyFill="1" applyBorder="1" applyAlignment="1">
      <alignment horizontal="right" vertical="center"/>
    </xf>
    <xf numFmtId="175" fontId="25" fillId="6" borderId="9" xfId="0" applyNumberFormat="1" applyFont="1" applyFill="1" applyBorder="1" applyAlignment="1">
      <alignment horizontal="right" vertical="center"/>
    </xf>
    <xf numFmtId="171" fontId="24" fillId="6" borderId="15" xfId="16" applyNumberFormat="1" applyFont="1" applyFill="1" applyBorder="1" applyAlignment="1">
      <alignment horizontal="right" vertical="center"/>
    </xf>
    <xf numFmtId="171" fontId="24" fillId="6" borderId="9" xfId="16" applyNumberFormat="1" applyFont="1" applyFill="1" applyBorder="1" applyAlignment="1">
      <alignment horizontal="right" vertical="center"/>
    </xf>
    <xf numFmtId="171" fontId="25" fillId="6" borderId="9" xfId="16" applyNumberFormat="1" applyFont="1" applyFill="1" applyBorder="1" applyAlignment="1">
      <alignment horizontal="right" vertical="center"/>
    </xf>
    <xf numFmtId="175" fontId="22" fillId="6" borderId="16" xfId="0" applyNumberFormat="1" applyFont="1" applyFill="1" applyBorder="1" applyAlignment="1">
      <alignment horizontal="right" vertical="center"/>
    </xf>
    <xf numFmtId="175" fontId="23" fillId="6" borderId="16" xfId="0" applyNumberFormat="1" applyFont="1" applyFill="1" applyBorder="1" applyAlignment="1">
      <alignment horizontal="right" vertical="center"/>
    </xf>
    <xf numFmtId="171" fontId="22" fillId="6" borderId="16" xfId="16" applyNumberFormat="1" applyFont="1" applyFill="1" applyBorder="1" applyAlignment="1">
      <alignment horizontal="right" vertical="center"/>
    </xf>
    <xf numFmtId="171" fontId="23" fillId="6" borderId="16" xfId="16" applyNumberFormat="1" applyFont="1" applyFill="1" applyBorder="1" applyAlignment="1">
      <alignment horizontal="right" vertical="center"/>
    </xf>
    <xf numFmtId="175" fontId="22" fillId="6" borderId="8" xfId="0" applyNumberFormat="1" applyFont="1" applyFill="1" applyBorder="1" applyAlignment="1">
      <alignment horizontal="right" vertical="center"/>
    </xf>
    <xf numFmtId="175" fontId="22" fillId="6" borderId="10" xfId="0" applyNumberFormat="1" applyFont="1" applyFill="1" applyBorder="1" applyAlignment="1">
      <alignment horizontal="right" vertical="center"/>
    </xf>
    <xf numFmtId="175" fontId="23" fillId="6" borderId="10" xfId="0" applyNumberFormat="1" applyFont="1" applyFill="1" applyBorder="1" applyAlignment="1">
      <alignment horizontal="right" vertical="center"/>
    </xf>
    <xf numFmtId="171" fontId="22" fillId="6" borderId="8" xfId="16" applyNumberFormat="1" applyFont="1" applyFill="1" applyBorder="1" applyAlignment="1">
      <alignment horizontal="right" vertical="center"/>
    </xf>
    <xf numFmtId="171" fontId="22" fillId="6" borderId="10" xfId="16" applyNumberFormat="1" applyFont="1" applyFill="1" applyBorder="1" applyAlignment="1">
      <alignment horizontal="right" vertical="center"/>
    </xf>
    <xf numFmtId="171" fontId="23" fillId="6" borderId="10" xfId="16" applyNumberFormat="1" applyFont="1" applyFill="1" applyBorder="1" applyAlignment="1">
      <alignment horizontal="right" vertical="center"/>
    </xf>
    <xf numFmtId="173" fontId="12" fillId="0" borderId="0" xfId="0" applyNumberFormat="1" applyFont="1"/>
    <xf numFmtId="0" fontId="26" fillId="0" borderId="0" xfId="3" applyFont="1"/>
    <xf numFmtId="0" fontId="29" fillId="0" borderId="0" xfId="0" applyFont="1"/>
    <xf numFmtId="0" fontId="6" fillId="0" borderId="9" xfId="0" applyFont="1" applyBorder="1" applyAlignment="1">
      <alignment vertical="center"/>
    </xf>
    <xf numFmtId="9" fontId="23" fillId="6" borderId="9" xfId="1" applyFont="1" applyFill="1" applyBorder="1" applyAlignment="1">
      <alignment horizontal="right" vertical="center"/>
    </xf>
    <xf numFmtId="0" fontId="12" fillId="0" borderId="0" xfId="0" applyFont="1" applyFill="1" applyBorder="1"/>
    <xf numFmtId="0" fontId="12" fillId="6" borderId="9" xfId="0" applyFont="1" applyFill="1" applyBorder="1" applyAlignment="1">
      <alignment horizontal="center" wrapText="1"/>
    </xf>
    <xf numFmtId="173" fontId="23" fillId="3" borderId="9" xfId="0" applyNumberFormat="1" applyFont="1" applyFill="1" applyBorder="1" applyAlignment="1">
      <alignment horizontal="right" vertical="center"/>
    </xf>
    <xf numFmtId="0" fontId="8" fillId="0" borderId="0" xfId="17" applyFont="1" applyBorder="1" applyProtection="1"/>
    <xf numFmtId="0" fontId="12" fillId="6" borderId="13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14" xfId="0" applyFont="1" applyFill="1" applyBorder="1" applyAlignment="1">
      <alignment horizontal="center"/>
    </xf>
    <xf numFmtId="0" fontId="12" fillId="6" borderId="15" xfId="0" applyFont="1" applyFill="1" applyBorder="1" applyAlignment="1">
      <alignment horizontal="center"/>
    </xf>
    <xf numFmtId="0" fontId="13" fillId="0" borderId="9" xfId="17" applyFont="1" applyBorder="1" applyProtection="1"/>
    <xf numFmtId="3" fontId="13" fillId="3" borderId="11" xfId="18" applyNumberFormat="1" applyFont="1" applyFill="1" applyBorder="1" applyAlignment="1">
      <alignment horizontal="right"/>
    </xf>
    <xf numFmtId="0" fontId="8" fillId="0" borderId="4" xfId="17" applyFont="1" applyFill="1" applyBorder="1" applyProtection="1"/>
    <xf numFmtId="0" fontId="30" fillId="0" borderId="4" xfId="17" applyFont="1" applyFill="1" applyBorder="1" applyAlignment="1">
      <alignment wrapText="1"/>
    </xf>
    <xf numFmtId="3" fontId="13" fillId="3" borderId="10" xfId="18" applyNumberFormat="1" applyFont="1" applyFill="1" applyBorder="1" applyAlignment="1">
      <alignment horizontal="right"/>
    </xf>
    <xf numFmtId="0" fontId="8" fillId="0" borderId="9" xfId="3" applyFont="1" applyBorder="1" applyAlignment="1" applyProtection="1">
      <alignment wrapText="1"/>
      <protection hidden="1"/>
    </xf>
    <xf numFmtId="3" fontId="13" fillId="3" borderId="9" xfId="18" applyNumberFormat="1" applyFont="1" applyFill="1" applyBorder="1" applyAlignment="1">
      <alignment horizontal="right"/>
    </xf>
    <xf numFmtId="0" fontId="13" fillId="0" borderId="9" xfId="3" applyFont="1" applyBorder="1" applyAlignment="1" applyProtection="1">
      <alignment wrapText="1"/>
      <protection hidden="1"/>
    </xf>
    <xf numFmtId="9" fontId="13" fillId="7" borderId="9" xfId="1" applyFont="1" applyFill="1" applyBorder="1" applyAlignment="1">
      <alignment horizontal="right"/>
    </xf>
    <xf numFmtId="0" fontId="8" fillId="0" borderId="12" xfId="17" applyFont="1" applyBorder="1" applyProtection="1"/>
    <xf numFmtId="0" fontId="30" fillId="0" borderId="12" xfId="17" applyFont="1" applyFill="1" applyBorder="1" applyAlignment="1">
      <alignment wrapText="1"/>
    </xf>
    <xf numFmtId="170" fontId="8" fillId="4" borderId="9" xfId="1" applyNumberFormat="1" applyFont="1" applyFill="1" applyBorder="1"/>
    <xf numFmtId="9" fontId="8" fillId="3" borderId="9" xfId="1" applyFont="1" applyFill="1" applyBorder="1"/>
    <xf numFmtId="0" fontId="31" fillId="0" borderId="0" xfId="19" applyFont="1" applyAlignment="1">
      <alignment vertical="center"/>
    </xf>
    <xf numFmtId="0" fontId="32" fillId="0" borderId="11" xfId="20" applyFont="1" applyBorder="1" applyAlignment="1">
      <alignment vertical="center" wrapText="1"/>
    </xf>
    <xf numFmtId="0" fontId="32" fillId="0" borderId="9" xfId="20" applyFont="1" applyBorder="1" applyAlignment="1">
      <alignment vertical="center" wrapText="1"/>
    </xf>
    <xf numFmtId="9" fontId="8" fillId="4" borderId="9" xfId="1" applyFont="1" applyFill="1" applyBorder="1"/>
    <xf numFmtId="170" fontId="23" fillId="6" borderId="9" xfId="1" applyNumberFormat="1" applyFont="1" applyFill="1" applyBorder="1" applyAlignment="1">
      <alignment horizontal="right" vertical="center"/>
    </xf>
    <xf numFmtId="176" fontId="23" fillId="6" borderId="9" xfId="0" applyNumberFormat="1" applyFont="1" applyFill="1" applyBorder="1" applyAlignment="1">
      <alignment horizontal="right" vertical="center"/>
    </xf>
    <xf numFmtId="0" fontId="6" fillId="0" borderId="9" xfId="0" applyFont="1" applyBorder="1" applyAlignment="1">
      <alignment vertical="center" wrapText="1"/>
    </xf>
    <xf numFmtId="169" fontId="8" fillId="4" borderId="9" xfId="11" applyNumberFormat="1" applyFont="1" applyFill="1" applyBorder="1"/>
    <xf numFmtId="10" fontId="23" fillId="6" borderId="9" xfId="1" applyNumberFormat="1" applyFont="1" applyFill="1" applyBorder="1" applyAlignment="1">
      <alignment horizontal="right" vertical="center"/>
    </xf>
    <xf numFmtId="0" fontId="35" fillId="0" borderId="0" xfId="17" applyFont="1" applyFill="1" applyBorder="1" applyAlignment="1" applyProtection="1">
      <alignment horizontal="left"/>
    </xf>
    <xf numFmtId="0" fontId="8" fillId="0" borderId="0" xfId="20" applyFont="1"/>
    <xf numFmtId="0" fontId="4" fillId="6" borderId="10" xfId="20" applyFont="1" applyFill="1" applyBorder="1" applyAlignment="1">
      <alignment horizontal="center" vertical="center" wrapText="1"/>
    </xf>
    <xf numFmtId="177" fontId="12" fillId="6" borderId="9" xfId="11" applyNumberFormat="1" applyFont="1" applyFill="1" applyBorder="1" applyAlignment="1">
      <alignment horizontal="center" vertical="center" wrapText="1"/>
    </xf>
    <xf numFmtId="177" fontId="8" fillId="4" borderId="9" xfId="11" applyNumberFormat="1" applyFont="1" applyFill="1" applyBorder="1"/>
    <xf numFmtId="3" fontId="0" fillId="0" borderId="0" xfId="0" applyNumberFormat="1"/>
    <xf numFmtId="173" fontId="23" fillId="3" borderId="0" xfId="0" applyNumberFormat="1" applyFont="1" applyFill="1" applyBorder="1" applyAlignment="1">
      <alignment horizontal="right" vertical="center"/>
    </xf>
    <xf numFmtId="173" fontId="23" fillId="3" borderId="5" xfId="0" applyNumberFormat="1" applyFont="1" applyFill="1" applyBorder="1" applyAlignment="1">
      <alignment horizontal="right" vertical="center"/>
    </xf>
    <xf numFmtId="170" fontId="8" fillId="0" borderId="0" xfId="1" applyNumberFormat="1" applyFont="1"/>
    <xf numFmtId="9" fontId="0" fillId="0" borderId="0" xfId="1" applyFont="1"/>
    <xf numFmtId="10" fontId="0" fillId="0" borderId="0" xfId="1" applyNumberFormat="1" applyFont="1"/>
    <xf numFmtId="168" fontId="12" fillId="5" borderId="6" xfId="0" applyNumberFormat="1" applyFont="1" applyFill="1" applyBorder="1" applyAlignment="1">
      <alignment horizontal="center" vertical="center"/>
    </xf>
    <xf numFmtId="168" fontId="12" fillId="5" borderId="7" xfId="0" applyNumberFormat="1" applyFont="1" applyFill="1" applyBorder="1" applyAlignment="1">
      <alignment horizontal="center" vertical="center"/>
    </xf>
    <xf numFmtId="168" fontId="12" fillId="5" borderId="8" xfId="0" applyNumberFormat="1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wrapText="1"/>
    </xf>
    <xf numFmtId="0" fontId="12" fillId="6" borderId="9" xfId="0" applyFont="1" applyFill="1" applyBorder="1" applyAlignment="1">
      <alignment horizontal="center"/>
    </xf>
    <xf numFmtId="0" fontId="12" fillId="6" borderId="6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/>
    </xf>
    <xf numFmtId="0" fontId="12" fillId="6" borderId="3" xfId="0" applyFont="1" applyFill="1" applyBorder="1" applyAlignment="1">
      <alignment horizontal="center"/>
    </xf>
    <xf numFmtId="0" fontId="12" fillId="6" borderId="7" xfId="0" applyFont="1" applyFill="1" applyBorder="1" applyAlignment="1">
      <alignment horizontal="center"/>
    </xf>
    <xf numFmtId="0" fontId="12" fillId="6" borderId="8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/>
    </xf>
    <xf numFmtId="0" fontId="12" fillId="6" borderId="6" xfId="0" applyFont="1" applyFill="1" applyBorder="1" applyAlignment="1">
      <alignment horizontal="center"/>
    </xf>
    <xf numFmtId="0" fontId="12" fillId="0" borderId="0" xfId="0" applyFont="1" applyAlignment="1">
      <alignment horizontal="left" vertical="top" wrapText="1"/>
    </xf>
    <xf numFmtId="0" fontId="13" fillId="6" borderId="13" xfId="0" applyFont="1" applyFill="1" applyBorder="1" applyAlignment="1">
      <alignment horizontal="center"/>
    </xf>
    <xf numFmtId="0" fontId="13" fillId="6" borderId="14" xfId="0" applyFont="1" applyFill="1" applyBorder="1" applyAlignment="1">
      <alignment horizontal="center"/>
    </xf>
    <xf numFmtId="0" fontId="13" fillId="6" borderId="15" xfId="0" applyFont="1" applyFill="1" applyBorder="1" applyAlignment="1">
      <alignment horizontal="center"/>
    </xf>
  </cellXfs>
  <cellStyles count="21">
    <cellStyle name="%" xfId="2"/>
    <cellStyle name="=C:\WINNT\SYSTEM32\COMMAND.COM" xfId="6"/>
    <cellStyle name="=C:\WINNT\SYSTEM32\COMMAND.COM 3" xfId="8"/>
    <cellStyle name="Comma 2" xfId="11"/>
    <cellStyle name="Comma 20" xfId="15"/>
    <cellStyle name="Normal" xfId="0" builtinId="0"/>
    <cellStyle name="Normal - Style1 2" xfId="3"/>
    <cellStyle name="Normal 14 2_List of table gaps" xfId="5"/>
    <cellStyle name="Normal 16 3 2 2 3 14 3 2" xfId="19"/>
    <cellStyle name="Normal 2" xfId="13"/>
    <cellStyle name="Normal 2 10" xfId="18"/>
    <cellStyle name="Normal 2 2 2 2 2" xfId="14"/>
    <cellStyle name="Normal 2 5 2 4 15 2 4 2" xfId="9"/>
    <cellStyle name="Normal 3 2" xfId="10"/>
    <cellStyle name="Normal 5 11" xfId="7"/>
    <cellStyle name="Normal 7 3 2" xfId="4"/>
    <cellStyle name="Normal 7 5 2" xfId="20"/>
    <cellStyle name="Normal_GDPCR Table IP" xfId="12"/>
    <cellStyle name="Normal_Spreadsheet  5 yr draft v4 12 29_06_06" xfId="17"/>
    <cellStyle name="Percent" xfId="1" builtinId="5"/>
    <cellStyle name="Percent 10 2 2 4 14 2" xfId="16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G/Transmission/Transmission_Price_Controls_Lib/Regulatory_Reporting/RRP_2010/Transmission%20PCRRP%20tables_SPTL_200910%20draft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gdsswrk002.uk.corporg.net\home3_wrk$\My%20Documents\Ant\Other\Graph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hcbapp83\gas%20distribution%20shared%20folder\EXECFIN\FINPLAN\Monthly%20Reporting\0506\04%20-%20July\Report%20Schedules\Tes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hcbapp83\gas%20distribution%20shared%20folder\DOCUME~1\ostergmk\LOCALS~1\Temp\10%20year%20maturity%20T%20Bonds%20v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hcbapp83\gas%20distribution%20shared%20folder\DOCUME~1\byrnespj\LOCALS~1\Temp\Beta%20Retail%20Exampl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FIN%20&amp;%20REG%20Shared\Cost%20Reporting\2014_15%20RIIO%20Reporting\Ofgem%20Submissions\RIIO-GD1%20-%20NGN%20Cost%20and%20Output%20Return%202014-1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arepoint2010/sgg/ElecDistrib/Elec_Distrib_Lib/Connections/Connections_Industry_Review/CIR%202010-11/submissions/GDNs/GDNS%20submissions%20with%20calc/Copy%20of%20CIR_2010_11_NG_LON_for%20cal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dex"/>
      <sheetName val="Universal data"/>
      <sheetName val="Check and Balances"/>
      <sheetName val="1.1 Published Data"/>
      <sheetName val="1.2s Ofgem Adjustments Scots"/>
      <sheetName val="1.3s Accounting C Costs Scots"/>
      <sheetName val="1.4s Performance Scots"/>
      <sheetName val="1.5s Reconciliation Scots"/>
      <sheetName val="2.1 Eng Opex Elec "/>
      <sheetName val="2.2 Non Op Capex"/>
      <sheetName val="2.4 Exc &amp; Demin "/>
      <sheetName val="2.5 Corporate Costs Scots"/>
      <sheetName val="2.6 IT Scots"/>
      <sheetName val="2.7s Insurance"/>
      <sheetName val="2.7 Captive Insure"/>
      <sheetName val="2.10 Related Party Scots"/>
      <sheetName val="2.11s Staff Scots"/>
      <sheetName val="2.14 Year on Year Movt"/>
      <sheetName val="2.16.1 Recharge Model"/>
      <sheetName val="2.16.2 Recharge Model"/>
      <sheetName val="3.1s Pensions Scots"/>
      <sheetName val="3.1.1 DB Pension cost"/>
      <sheetName val="3.1.2 DB Pension Detail"/>
      <sheetName val="3.1.3 Second DB Pension Det"/>
      <sheetName val="3.1.4 Pensions DC"/>
      <sheetName val="3.1.5 Pension PPF levy"/>
      <sheetName val="3.1.6 Pension Admin"/>
      <sheetName val="3.2 Net Debt"/>
      <sheetName val="3.3 Tax"/>
      <sheetName val="3.4s Disposals"/>
      <sheetName val="3.5 P&amp;L"/>
      <sheetName val="3.5.1 Bal Sht"/>
      <sheetName val="3.5.2 Cashflow"/>
      <sheetName val="3.6 Fin Require"/>
      <sheetName val="3.7 Tax allocations"/>
      <sheetName val="3.7.1 Tax allocations CT600"/>
      <sheetName val="4.1  System Info"/>
      <sheetName val="4.2  Activity indicators"/>
      <sheetName val="4.3_System_perf_SHETL_SPT"/>
      <sheetName val="4.4  Defects SPTL"/>
      <sheetName val="4.5  Faults"/>
      <sheetName val="4.6  Failures"/>
      <sheetName val="4.7 Condition Assessment SPTL"/>
      <sheetName val="4.8_Boundary_transf_capab"/>
      <sheetName val="4.9_Demand_&amp;_Supply_at_sub"/>
      <sheetName val="4.10 Reactive compensation"/>
      <sheetName val="4.11 Asset description SPTL"/>
      <sheetName val="4.12 Asset age 2007"/>
      <sheetName val="4.12 Asset age 2008"/>
      <sheetName val="4.12 Asset age 2009"/>
      <sheetName val="4.12 Asset age 2010"/>
      <sheetName val="4.13 Asset disposal LRE by age"/>
      <sheetName val="4.14 Asset disposal NLRE by age"/>
      <sheetName val="4.15 Asset adds &amp; disps"/>
      <sheetName val="4.16 Asset lives"/>
      <sheetName val="4.17 Unit costs"/>
      <sheetName val="4.18 Capex summary e"/>
      <sheetName val="4.19 Scheme Listing LR"/>
      <sheetName val="4.20 Scheme Listing NLR"/>
      <sheetName val="4.21 Quasi capex"/>
      <sheetName val="4.22 Other Capex costs"/>
      <sheetName val="4.23 TIRG"/>
      <sheetName val="4.24 Revenue Driver info"/>
      <sheetName val="4.25 CEI"/>
      <sheetName val="4.26 Capex Movement"/>
      <sheetName val="4.27.1 Capex Price Vol Var"/>
      <sheetName val="4.27.2 Capex Price Vol Var"/>
      <sheetName val="4.28A_Asset_health_&amp;_crit"/>
      <sheetName val="4.28B_Asset_health_&amp;_crit"/>
      <sheetName val="4.29C_Criticality_subs_SP"/>
      <sheetName val="4.30 TPCR Forecast"/>
      <sheetName val="4.31 E3 Grid"/>
      <sheetName val="3.1 P&amp;L"/>
      <sheetName val="3.2 Bal Sht"/>
      <sheetName val="3.3 Cashflow"/>
      <sheetName val="3.3.1 Fin Require"/>
      <sheetName val="3.5 Net Debt"/>
      <sheetName val="3.6 Tax"/>
      <sheetName val="3.8 DB Pension cost"/>
      <sheetName val="3.8.1 DB Pension Detail"/>
      <sheetName val="3.8.2 Second DB Pension Det"/>
      <sheetName val="3.9 Pensions DC"/>
      <sheetName val="3.10 Pension PPF levy"/>
      <sheetName val="3.11 Pension Admin"/>
      <sheetName val="4.3  System perf - SPTL"/>
      <sheetName val="4.8  Boundary Transfers"/>
      <sheetName val="4.9  Demand &amp; Supply at subs"/>
      <sheetName val="4.28 Asset Health"/>
      <sheetName val="4.29 Asset Criticality"/>
      <sheetName val="4.30 Asset Rep Priority"/>
      <sheetName val="4.31 Asset Live Det"/>
      <sheetName val="4.32 TPCR Forecast"/>
      <sheetName val="4.33 E3 Grid"/>
    </sheetNames>
    <sheetDataSet>
      <sheetData sheetId="0"/>
      <sheetData sheetId="1"/>
      <sheetData sheetId="2">
        <row r="21">
          <cell r="C21" t="str">
            <v>2009/10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CKET"/>
      <sheetName val="SUN"/>
      <sheetName val="FF 02"/>
      <sheetName val="FF 03"/>
      <sheetName val="Graph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">
          <cell r="D5">
            <v>-20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est"/>
      <sheetName val="Incentives"/>
      <sheetName val="Income collected"/>
      <sheetName val="Opex subjective"/>
      <sheetName val="Capex Comp"/>
      <sheetName val="Capex Comparators FOC"/>
      <sheetName val="Incentive Forecast"/>
      <sheetName val="Opex Comparators-sensitivities"/>
      <sheetName val="Opex Objective YTD"/>
      <sheetName val="Opex by FOC"/>
      <sheetName val="Opex Trend &amp; MAT"/>
      <sheetName val="Manpower"/>
      <sheetName val="Incentive Graphs"/>
      <sheetName val="Opex Objective Discrete Mths"/>
      <sheetName val="risk"/>
      <sheetName val="Manpower Summary"/>
      <sheetName val="Opex Subj by Mth"/>
      <sheetName val="Opex Objective Mth"/>
      <sheetName val="#REF"/>
      <sheetName val="By Account Code"/>
      <sheetName val="By Business Unit"/>
      <sheetName val="SummCapex"/>
      <sheetName val="ETO Capx"/>
      <sheetName val="ESO Capx"/>
      <sheetName val="GAS SO Capx"/>
      <sheetName val="GAS TO Capx "/>
      <sheetName val="Range Nam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GcaSummary"/>
      <sheetName val="MarginSummary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 Year ROIC Trees"/>
      <sheetName val="5 Year ROIC Trees"/>
      <sheetName val="Beta"/>
      <sheetName val="Cost of Debt (Industrial)"/>
      <sheetName val="Spread"/>
      <sheetName val="IBES Estimates"/>
      <sheetName val="Sheet4"/>
      <sheetName val="Risk-Free Rate"/>
      <sheetName val="Sheet3"/>
      <sheetName val="Operating Leases"/>
      <sheetName val="Sheet1"/>
      <sheetName val="Sheet2"/>
      <sheetName val="Spread|Growth"/>
      <sheetName val="Summary"/>
      <sheetName val="ABS"/>
      <sheetName val="ABS (Adjusted)"/>
      <sheetName val="ABS (2)"/>
      <sheetName val="AHMY"/>
      <sheetName val="AHMY (Adjusted)"/>
      <sheetName val="AHMY (2)"/>
      <sheetName val="BJ"/>
      <sheetName val="BJ (Adjusted)"/>
      <sheetName val="BJ (2)"/>
      <sheetName val="CAUFM"/>
      <sheetName val="CAUFM (Adjusted) "/>
      <sheetName val="CAUFM (2)"/>
      <sheetName val="COST"/>
      <sheetName val="COST (Adjusted)"/>
      <sheetName val="COST (2)"/>
      <sheetName val="DEFI"/>
      <sheetName val="DEFI (Adjusted) "/>
      <sheetName val="DEFI (2)"/>
      <sheetName val="GAP"/>
      <sheetName val="GAP (Adjusted) "/>
      <sheetName val="GAP (2)"/>
      <sheetName val="KM"/>
      <sheetName val="KM (Adjusted)"/>
      <sheetName val="KM (2)"/>
      <sheetName val="KR"/>
      <sheetName val="KR (Adjusted)"/>
      <sheetName val="KR (2)"/>
      <sheetName val="IMKTA"/>
      <sheetName val="IMKTA (Adjusted) "/>
      <sheetName val="IMKTA (2)"/>
      <sheetName val="METOL"/>
      <sheetName val="METOL (Adjusted)"/>
      <sheetName val="METOL (2)"/>
      <sheetName val="PUSH"/>
      <sheetName val="PUSH (Adjusted)"/>
      <sheetName val="PUSH (2)"/>
      <sheetName val="RDK"/>
      <sheetName val="RDK (Adjusted)"/>
      <sheetName val="RDK (2)"/>
      <sheetName val="SAGFO"/>
      <sheetName val="SAGFO (Adjusted) "/>
      <sheetName val="SAGFO (2)"/>
      <sheetName val="SVU"/>
      <sheetName val="SVU (Adjusted)"/>
      <sheetName val="SVU (2)"/>
      <sheetName val="SWY"/>
      <sheetName val="SWY (Adjusted)"/>
      <sheetName val="SWY (2)"/>
      <sheetName val="TEPH"/>
      <sheetName val="TEPH (Adjusted) "/>
      <sheetName val="TEPH (2)"/>
      <sheetName val="WIN"/>
      <sheetName val="WIN (Adjusted)"/>
      <sheetName val="WIN (2)"/>
      <sheetName val="WMK"/>
      <sheetName val="WMK (Adjusted)"/>
      <sheetName val="WMK (2)"/>
      <sheetName val="WMT"/>
      <sheetName val="WMT (Adjusted)"/>
      <sheetName val="WMT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5">
          <cell r="A15" t="e">
            <v>#NAME?</v>
          </cell>
          <cell r="D15" t="e">
            <v>#NAME?</v>
          </cell>
          <cell r="G15" t="e">
            <v>#NAME?</v>
          </cell>
          <cell r="J15" t="e">
            <v>#NAME?</v>
          </cell>
          <cell r="M15" t="e">
            <v>#NAME?</v>
          </cell>
          <cell r="P15" t="e">
            <v>#NAME?</v>
          </cell>
          <cell r="S15" t="e">
            <v>#NAME?</v>
          </cell>
          <cell r="V15" t="e">
            <v>#NAME?</v>
          </cell>
          <cell r="Y15" t="e">
            <v>#NAME?</v>
          </cell>
          <cell r="AB15" t="e">
            <v>#NAME?</v>
          </cell>
          <cell r="AE15" t="e">
            <v>#NAME?</v>
          </cell>
          <cell r="AH15" t="e">
            <v>#NAME?</v>
          </cell>
          <cell r="AK15" t="e">
            <v>#NAME?</v>
          </cell>
          <cell r="AN15" t="e">
            <v>#NAME?</v>
          </cell>
          <cell r="AQ15" t="e">
            <v>#NAME?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1 Op Cost Matrix (NEW)(1)"/>
      <sheetName val="2.1 Op Cost Matrix (NEW) (2)"/>
      <sheetName val="Index"/>
      <sheetName val="Changes Log"/>
      <sheetName val="Universal data"/>
      <sheetName val="Check and balances"/>
      <sheetName val="1.1 Income Statement"/>
      <sheetName val="1.2 Financial Position"/>
      <sheetName val="1.3 Cash Flow"/>
      <sheetName val="1.4 Rec to costs tables"/>
      <sheetName val="1.5 Net Debt "/>
      <sheetName val="1.6  Disposals"/>
      <sheetName val="1.7 Tax Computation"/>
      <sheetName val="1.8 Tax pools"/>
      <sheetName val="1.9 Tax Allocations"/>
      <sheetName val="1.10 Tax Allocations CT600"/>
      <sheetName val="1.11 Tax Clawback"/>
      <sheetName val="1.12 Financing  Requirements"/>
      <sheetName val="1.13 DB Pension scheme"/>
      <sheetName val="2.1 Totex PCFM"/>
      <sheetName val="2.2 Totex costs summary"/>
      <sheetName val="2.3 Workload summary"/>
      <sheetName val="2.4 Safety"/>
      <sheetName val="2.5 Reliability"/>
      <sheetName val="2.6 Environmental"/>
      <sheetName val="3.1 Opex cost matrix"/>
      <sheetName val="3.2 year on year movements"/>
      <sheetName val="3.3 FCO Resource Utilisation"/>
      <sheetName val="3.4_Bus_Support_DELETED 2014_15"/>
      <sheetName val="3.5_Business_Support_REVISED"/>
      <sheetName val="3.6_Bus_Support_DELETED 2014_15"/>
      <sheetName val="3.7_Training_&amp;_Apprentices"/>
      <sheetName val="3.8 Maintenance"/>
      <sheetName val="3.9 LP Gasholders"/>
      <sheetName val="3.10 Land remediation REVISED"/>
      <sheetName val="3.11_Related Party Transact "/>
      <sheetName val="3.12 Shrinkage"/>
      <sheetName val="3.12a Gas Theft NEW 2014_15"/>
      <sheetName val="3.13 Streetworks"/>
      <sheetName val="3.14 Smart Metering"/>
      <sheetName val="3.15 SIUs"/>
      <sheetName val="4.1 Capex Summary "/>
      <sheetName val="4.2 Cap Expenditure Analysis"/>
      <sheetName val="4.3 LTS, storage &amp; entry"/>
      <sheetName val="4.4 Reinforcement"/>
      <sheetName val="4.5 Governor(Replacement)"/>
      <sheetName val="4.6 Connections "/>
      <sheetName val="4.7 Other Capex "/>
      <sheetName val="4.8 PSUP"/>
      <sheetName val="5.1 Repex summary"/>
      <sheetName val="5.2a Repex iron mains Tier 1"/>
      <sheetName val="5.2b Repex iron mains Tier 2A"/>
      <sheetName val="5.2c Repex other mains"/>
      <sheetName val="5.2d Repex diversions"/>
      <sheetName val="5.3 Other repex services"/>
      <sheetName val="5.4 Risers"/>
      <sheetName val="5.5 Repex expenditure analysis"/>
      <sheetName val="5.6 UNC Sub Deducts"/>
      <sheetName val="5.7 Mains Decommissiond "/>
      <sheetName val="5.8 Decommissioned Sum "/>
      <sheetName val="6.1 LTS Asset Data"/>
      <sheetName val="6.2 Network Assets"/>
      <sheetName val="6.3 Capacity&amp;Storage Asset "/>
      <sheetName val="6.4 Capacity &amp; Demand Data "/>
      <sheetName val="6.5 Capacity Output Data"/>
      <sheetName val="6.6 MEAV"/>
      <sheetName val="7.1 Safety Outputs"/>
      <sheetName val="7.2 Reliability Outputs"/>
      <sheetName val="7.3 Asset Health &amp; Criticality"/>
      <sheetName val="7.4 PREs, Reports and Repairs "/>
      <sheetName val="7.5 Accuracy pipeline records"/>
      <sheetName val="7.6 Business Carbon Footprint"/>
      <sheetName val="7.7 Environment-Other"/>
      <sheetName val="7.8 Dist Gas Connections"/>
      <sheetName val="7.9 Innovation rollout mechanis"/>
      <sheetName val="7.10 Network Innovation Allowan"/>
      <sheetName val="7.11 Network Innovation Competi"/>
      <sheetName val="8.1 Customer Complaints"/>
      <sheetName val="8.2 Customer Satisfaction Surve"/>
      <sheetName val="8.3 Guaranteed Standards "/>
      <sheetName val="8.4 Licence Condition D10"/>
      <sheetName val="8.5 3rd party &amp; water summary "/>
    </sheetNames>
    <sheetDataSet>
      <sheetData sheetId="0"/>
      <sheetData sheetId="1"/>
      <sheetData sheetId="2"/>
      <sheetData sheetId="3"/>
      <sheetData sheetId="4">
        <row r="1">
          <cell r="A1" t="str">
            <v>Regulatory Reporting Pack</v>
          </cell>
        </row>
        <row r="2">
          <cell r="A2" t="str">
            <v>Northern Gas</v>
          </cell>
        </row>
        <row r="3">
          <cell r="A3" t="str">
            <v>2014/15</v>
          </cell>
        </row>
        <row r="30">
          <cell r="B30" t="str">
            <v>2009/10</v>
          </cell>
          <cell r="C30">
            <v>2010</v>
          </cell>
          <cell r="D30">
            <v>216.45000000000002</v>
          </cell>
          <cell r="E30">
            <v>215.76669999999999</v>
          </cell>
          <cell r="F30">
            <v>1</v>
          </cell>
        </row>
        <row r="31">
          <cell r="B31" t="str">
            <v>2010/11</v>
          </cell>
          <cell r="C31">
            <v>2011</v>
          </cell>
          <cell r="D31">
            <v>215.61666666666667</v>
          </cell>
          <cell r="E31">
            <v>226.47499999999999</v>
          </cell>
          <cell r="F31">
            <v>1.0496290669505535</v>
          </cell>
          <cell r="G31">
            <v>1.0496290669505535</v>
          </cell>
        </row>
        <row r="32">
          <cell r="B32" t="str">
            <v>2011/12</v>
          </cell>
          <cell r="C32">
            <v>2012</v>
          </cell>
          <cell r="D32">
            <v>225.73333333333335</v>
          </cell>
          <cell r="E32">
            <v>237.34166666666667</v>
          </cell>
          <cell r="F32">
            <v>1.0999921056709245</v>
          </cell>
          <cell r="G32">
            <v>1.0479817492732826</v>
          </cell>
        </row>
        <row r="33">
          <cell r="B33" t="str">
            <v>2012/13</v>
          </cell>
          <cell r="C33">
            <v>2013</v>
          </cell>
          <cell r="D33">
            <v>237.43333333333331</v>
          </cell>
          <cell r="E33">
            <v>244.67500000000001</v>
          </cell>
          <cell r="F33">
            <v>1.1339794324147332</v>
          </cell>
          <cell r="G33">
            <v>1.0308977915101296</v>
          </cell>
        </row>
        <row r="34">
          <cell r="B34" t="str">
            <v>2013/14</v>
          </cell>
          <cell r="C34">
            <v>2014</v>
          </cell>
          <cell r="D34" t="str">
            <v>xxx.x</v>
          </cell>
          <cell r="E34">
            <v>251.73330000000001</v>
          </cell>
          <cell r="F34">
            <v>1.1666920799178002</v>
          </cell>
          <cell r="G34">
            <v>1.0288476550526209</v>
          </cell>
        </row>
        <row r="35">
          <cell r="B35" t="str">
            <v>2014/15</v>
          </cell>
          <cell r="C35">
            <v>2015</v>
          </cell>
          <cell r="D35" t="str">
            <v>xxx.x</v>
          </cell>
          <cell r="E35">
            <v>256.66666666666669</v>
          </cell>
          <cell r="F35">
            <v>1.1895564360333022</v>
          </cell>
          <cell r="G35">
            <v>1.019597592637393</v>
          </cell>
        </row>
        <row r="36">
          <cell r="B36" t="str">
            <v>2015/16</v>
          </cell>
          <cell r="C36">
            <v>2016</v>
          </cell>
          <cell r="D36" t="str">
            <v>xxx.x</v>
          </cell>
          <cell r="E36" t="str">
            <v>xxx.x</v>
          </cell>
          <cell r="F36" t="str">
            <v>xxx.x</v>
          </cell>
          <cell r="G36" t="str">
            <v>xxx.x</v>
          </cell>
        </row>
        <row r="37">
          <cell r="B37" t="str">
            <v>2016/17</v>
          </cell>
          <cell r="C37">
            <v>2017</v>
          </cell>
          <cell r="D37" t="str">
            <v>xxx.x</v>
          </cell>
          <cell r="E37" t="str">
            <v>xxx.x</v>
          </cell>
          <cell r="F37" t="str">
            <v>xxx.x</v>
          </cell>
          <cell r="G37" t="str">
            <v>xxx.x</v>
          </cell>
        </row>
        <row r="38">
          <cell r="B38" t="str">
            <v>2017/18</v>
          </cell>
          <cell r="C38">
            <v>2018</v>
          </cell>
          <cell r="D38" t="str">
            <v>xxx.x</v>
          </cell>
          <cell r="E38" t="str">
            <v>xxx.x</v>
          </cell>
          <cell r="F38" t="str">
            <v>xxx.x</v>
          </cell>
          <cell r="G38" t="str">
            <v>xxx.x</v>
          </cell>
        </row>
        <row r="39">
          <cell r="B39" t="str">
            <v>2018/19</v>
          </cell>
          <cell r="C39">
            <v>2019</v>
          </cell>
          <cell r="E39" t="str">
            <v>xxx.x</v>
          </cell>
          <cell r="F39" t="str">
            <v>xxx.x</v>
          </cell>
          <cell r="G39" t="str">
            <v>xxx.x</v>
          </cell>
        </row>
        <row r="40">
          <cell r="B40" t="str">
            <v>2019/20</v>
          </cell>
          <cell r="C40">
            <v>2020</v>
          </cell>
          <cell r="E40" t="str">
            <v>xxx.x</v>
          </cell>
          <cell r="F40" t="str">
            <v>xxx.x</v>
          </cell>
          <cell r="G40" t="str">
            <v>xxx.x</v>
          </cell>
        </row>
        <row r="41">
          <cell r="B41" t="str">
            <v>2020/21</v>
          </cell>
          <cell r="C41">
            <v>2021</v>
          </cell>
          <cell r="E41" t="str">
            <v>xxx.x</v>
          </cell>
          <cell r="F41" t="str">
            <v>xxx.x</v>
          </cell>
          <cell r="G41" t="str">
            <v>xxx.x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1">
          <cell r="Z21">
            <v>4.2720000000000002</v>
          </cell>
        </row>
        <row r="36">
          <cell r="H36">
            <v>15.851000000000003</v>
          </cell>
          <cell r="I36">
            <v>10.208</v>
          </cell>
          <cell r="J36">
            <v>14.982000000000001</v>
          </cell>
          <cell r="K36">
            <v>9.3650000000000002</v>
          </cell>
          <cell r="L36">
            <v>0</v>
          </cell>
          <cell r="M36">
            <v>6.859</v>
          </cell>
          <cell r="V36">
            <v>24.559000000000005</v>
          </cell>
          <cell r="W36">
            <v>0</v>
          </cell>
          <cell r="Y36">
            <v>2.3919999999999995</v>
          </cell>
        </row>
        <row r="40">
          <cell r="AE40">
            <v>1.7809999999999999</v>
          </cell>
        </row>
        <row r="41">
          <cell r="AE41">
            <v>0</v>
          </cell>
        </row>
        <row r="46">
          <cell r="AE46">
            <v>6.2875272262678923</v>
          </cell>
        </row>
        <row r="52">
          <cell r="AE52">
            <v>4.9409999999999998</v>
          </cell>
        </row>
        <row r="54">
          <cell r="AE54">
            <v>8.6679999999999993</v>
          </cell>
        </row>
        <row r="66">
          <cell r="AE66">
            <v>68.115527226267886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>
        <row r="28">
          <cell r="E28">
            <v>-2</v>
          </cell>
        </row>
      </sheetData>
      <sheetData sheetId="34"/>
      <sheetData sheetId="35"/>
      <sheetData sheetId="36">
        <row r="16">
          <cell r="G16">
            <v>374.88145747433646</v>
          </cell>
        </row>
        <row r="19">
          <cell r="G19">
            <v>397.00217050130345</v>
          </cell>
        </row>
      </sheetData>
      <sheetData sheetId="37"/>
      <sheetData sheetId="38"/>
      <sheetData sheetId="39"/>
      <sheetData sheetId="40"/>
      <sheetData sheetId="41">
        <row r="8">
          <cell r="H8">
            <v>14.993</v>
          </cell>
        </row>
        <row r="9">
          <cell r="H9">
            <v>1.778</v>
          </cell>
        </row>
        <row r="10">
          <cell r="H10">
            <v>1.377</v>
          </cell>
        </row>
        <row r="11">
          <cell r="H11">
            <v>6.8129999999999988</v>
          </cell>
        </row>
        <row r="12">
          <cell r="H12">
            <v>23.619000000000003</v>
          </cell>
        </row>
      </sheetData>
      <sheetData sheetId="42"/>
      <sheetData sheetId="43"/>
      <sheetData sheetId="44">
        <row r="13">
          <cell r="H13">
            <v>0.39350000000000002</v>
          </cell>
        </row>
        <row r="19">
          <cell r="H19">
            <v>2.0430000000000001</v>
          </cell>
        </row>
        <row r="23">
          <cell r="H23">
            <v>2.8569999999999998</v>
          </cell>
        </row>
        <row r="29">
          <cell r="H29">
            <v>0.47499999999999998</v>
          </cell>
        </row>
        <row r="30">
          <cell r="H30">
            <v>0</v>
          </cell>
        </row>
        <row r="31">
          <cell r="H31">
            <v>3</v>
          </cell>
        </row>
        <row r="32">
          <cell r="H32">
            <v>0</v>
          </cell>
        </row>
        <row r="33">
          <cell r="H33">
            <v>0</v>
          </cell>
        </row>
      </sheetData>
      <sheetData sheetId="45">
        <row r="20">
          <cell r="I20">
            <v>9</v>
          </cell>
        </row>
      </sheetData>
      <sheetData sheetId="46">
        <row r="15">
          <cell r="H15">
            <v>2257</v>
          </cell>
        </row>
        <row r="16">
          <cell r="H16">
            <v>2504</v>
          </cell>
        </row>
        <row r="17">
          <cell r="H17">
            <v>1707</v>
          </cell>
        </row>
        <row r="18">
          <cell r="H18">
            <v>398</v>
          </cell>
        </row>
        <row r="28">
          <cell r="H28">
            <v>6866</v>
          </cell>
        </row>
      </sheetData>
      <sheetData sheetId="47">
        <row r="10">
          <cell r="E10">
            <v>4.8790000000000004</v>
          </cell>
        </row>
        <row r="14">
          <cell r="E14">
            <v>4.4660000000000002</v>
          </cell>
        </row>
      </sheetData>
      <sheetData sheetId="48">
        <row r="51">
          <cell r="K51">
            <v>0</v>
          </cell>
        </row>
        <row r="64">
          <cell r="G64">
            <v>0</v>
          </cell>
        </row>
      </sheetData>
      <sheetData sheetId="49">
        <row r="9">
          <cell r="F9">
            <v>69.207000000000008</v>
          </cell>
        </row>
        <row r="10">
          <cell r="F10">
            <v>2.4469999999999996</v>
          </cell>
        </row>
        <row r="11">
          <cell r="F11">
            <v>10.979000000000001</v>
          </cell>
        </row>
        <row r="12">
          <cell r="F12">
            <v>1.7509999999999999</v>
          </cell>
        </row>
        <row r="13">
          <cell r="F13">
            <v>10.017000000000001</v>
          </cell>
        </row>
        <row r="14">
          <cell r="F14">
            <v>3.2000000000000001E-2</v>
          </cell>
        </row>
      </sheetData>
      <sheetData sheetId="50">
        <row r="30">
          <cell r="K30">
            <v>22431</v>
          </cell>
        </row>
        <row r="31">
          <cell r="K31">
            <v>14841</v>
          </cell>
        </row>
        <row r="32">
          <cell r="K32">
            <v>216</v>
          </cell>
        </row>
        <row r="33">
          <cell r="K33">
            <v>221</v>
          </cell>
        </row>
      </sheetData>
      <sheetData sheetId="51">
        <row r="26">
          <cell r="K26">
            <v>66</v>
          </cell>
        </row>
        <row r="27">
          <cell r="K27">
            <v>62</v>
          </cell>
        </row>
        <row r="28">
          <cell r="K28">
            <v>3</v>
          </cell>
        </row>
        <row r="29">
          <cell r="K29">
            <v>15</v>
          </cell>
        </row>
      </sheetData>
      <sheetData sheetId="52">
        <row r="81">
          <cell r="K81">
            <v>832</v>
          </cell>
        </row>
        <row r="82">
          <cell r="K82">
            <v>909</v>
          </cell>
        </row>
        <row r="83">
          <cell r="K83">
            <v>13</v>
          </cell>
        </row>
      </sheetData>
      <sheetData sheetId="53">
        <row r="37">
          <cell r="I37">
            <v>14</v>
          </cell>
        </row>
        <row r="38">
          <cell r="I38">
            <v>21</v>
          </cell>
        </row>
        <row r="39">
          <cell r="I39">
            <v>3</v>
          </cell>
        </row>
        <row r="40">
          <cell r="I40">
            <v>2</v>
          </cell>
        </row>
        <row r="41">
          <cell r="I41">
            <v>163</v>
          </cell>
        </row>
        <row r="42">
          <cell r="I42">
            <v>18</v>
          </cell>
        </row>
        <row r="44">
          <cell r="I44">
            <v>0</v>
          </cell>
        </row>
      </sheetData>
      <sheetData sheetId="54">
        <row r="15">
          <cell r="F15">
            <v>7367</v>
          </cell>
          <cell r="J15">
            <v>184</v>
          </cell>
        </row>
      </sheetData>
      <sheetData sheetId="55"/>
      <sheetData sheetId="56"/>
      <sheetData sheetId="57">
        <row r="18">
          <cell r="H18">
            <v>5.2999999999999999E-2</v>
          </cell>
          <cell r="I18">
            <v>1.2E-2</v>
          </cell>
        </row>
        <row r="20">
          <cell r="C20">
            <v>0.58208955223880599</v>
          </cell>
        </row>
      </sheetData>
      <sheetData sheetId="58">
        <row r="9">
          <cell r="H9">
            <v>41213.129690215217</v>
          </cell>
        </row>
      </sheetData>
      <sheetData sheetId="59">
        <row r="19">
          <cell r="F19">
            <v>487.00661999999937</v>
          </cell>
          <cell r="G19">
            <v>7.612499999999998</v>
          </cell>
          <cell r="H19">
            <v>54.856340000000117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O19">
            <v>0.38400000000000001</v>
          </cell>
          <cell r="P19">
            <v>1.7945000000000002</v>
          </cell>
          <cell r="Q19">
            <v>2.8780000000000001</v>
          </cell>
          <cell r="S19">
            <v>17.220199999999991</v>
          </cell>
          <cell r="T19">
            <v>5.4099999999999984</v>
          </cell>
          <cell r="U19">
            <v>6.1734999999999998</v>
          </cell>
          <cell r="V19">
            <v>19.2865</v>
          </cell>
          <cell r="W19">
            <v>3.5928999999999975</v>
          </cell>
          <cell r="Y19">
            <v>0.92000000000000015</v>
          </cell>
          <cell r="Z19">
            <v>0.09</v>
          </cell>
          <cell r="AA19">
            <v>0.93000000000000027</v>
          </cell>
          <cell r="AB19">
            <v>0.34399999999999997</v>
          </cell>
          <cell r="AD19">
            <v>2.9359999999999999</v>
          </cell>
          <cell r="AE19">
            <v>1.2829999999999999</v>
          </cell>
          <cell r="AF19">
            <v>0.49200000000000005</v>
          </cell>
          <cell r="AG19">
            <v>3.9179999999999997</v>
          </cell>
        </row>
      </sheetData>
      <sheetData sheetId="60"/>
      <sheetData sheetId="61"/>
      <sheetData sheetId="62"/>
      <sheetData sheetId="63"/>
      <sheetData sheetId="64">
        <row r="10">
          <cell r="C10">
            <v>59</v>
          </cell>
        </row>
        <row r="11">
          <cell r="C11">
            <v>56</v>
          </cell>
        </row>
        <row r="12">
          <cell r="C12">
            <v>27</v>
          </cell>
        </row>
        <row r="13">
          <cell r="C13">
            <v>44</v>
          </cell>
        </row>
        <row r="14">
          <cell r="C14">
            <v>9</v>
          </cell>
        </row>
        <row r="15">
          <cell r="C15">
            <v>195</v>
          </cell>
        </row>
      </sheetData>
      <sheetData sheetId="65"/>
      <sheetData sheetId="66">
        <row r="9">
          <cell r="H9">
            <v>2</v>
          </cell>
        </row>
        <row r="10">
          <cell r="H10">
            <v>22</v>
          </cell>
        </row>
        <row r="11">
          <cell r="H11">
            <v>7</v>
          </cell>
        </row>
        <row r="12">
          <cell r="H12">
            <v>2</v>
          </cell>
        </row>
        <row r="13">
          <cell r="H13">
            <v>1</v>
          </cell>
        </row>
        <row r="14">
          <cell r="H14">
            <v>0</v>
          </cell>
        </row>
        <row r="15">
          <cell r="H15">
            <v>1</v>
          </cell>
        </row>
        <row r="16">
          <cell r="H16">
            <v>0</v>
          </cell>
        </row>
        <row r="17">
          <cell r="H17">
            <v>0</v>
          </cell>
        </row>
        <row r="28">
          <cell r="H28">
            <v>1</v>
          </cell>
        </row>
        <row r="29">
          <cell r="H29">
            <v>29</v>
          </cell>
        </row>
        <row r="30">
          <cell r="H30">
            <v>6</v>
          </cell>
        </row>
        <row r="31">
          <cell r="H31">
            <v>4</v>
          </cell>
        </row>
        <row r="32">
          <cell r="H32">
            <v>0</v>
          </cell>
        </row>
        <row r="33">
          <cell r="H33">
            <v>2</v>
          </cell>
        </row>
        <row r="34">
          <cell r="H34">
            <v>0</v>
          </cell>
        </row>
        <row r="35">
          <cell r="H35">
            <v>0</v>
          </cell>
        </row>
        <row r="36">
          <cell r="H36">
            <v>0</v>
          </cell>
        </row>
        <row r="63">
          <cell r="H63">
            <v>67</v>
          </cell>
        </row>
        <row r="64">
          <cell r="H64">
            <v>461</v>
          </cell>
        </row>
        <row r="65">
          <cell r="H65">
            <v>224</v>
          </cell>
        </row>
        <row r="66">
          <cell r="H66">
            <v>81</v>
          </cell>
        </row>
        <row r="67">
          <cell r="H67">
            <v>3</v>
          </cell>
        </row>
        <row r="68">
          <cell r="H68">
            <v>38</v>
          </cell>
        </row>
        <row r="69">
          <cell r="H69">
            <v>6</v>
          </cell>
        </row>
        <row r="70">
          <cell r="H70">
            <v>3</v>
          </cell>
        </row>
        <row r="71">
          <cell r="H71">
            <v>0</v>
          </cell>
        </row>
        <row r="100">
          <cell r="B100">
            <v>2.48</v>
          </cell>
        </row>
      </sheetData>
      <sheetData sheetId="67">
        <row r="21">
          <cell r="B21">
            <v>57434</v>
          </cell>
          <cell r="C21">
            <v>30307226</v>
          </cell>
        </row>
        <row r="33">
          <cell r="B33">
            <v>13034</v>
          </cell>
          <cell r="C33">
            <v>4168099.7400000049</v>
          </cell>
        </row>
      </sheetData>
      <sheetData sheetId="68"/>
      <sheetData sheetId="69">
        <row r="8">
          <cell r="C8">
            <v>83446</v>
          </cell>
        </row>
        <row r="11">
          <cell r="C11">
            <v>26936</v>
          </cell>
        </row>
        <row r="12">
          <cell r="C12">
            <v>26933</v>
          </cell>
        </row>
        <row r="13">
          <cell r="C13">
            <v>0.99988862488862484</v>
          </cell>
        </row>
        <row r="16">
          <cell r="C16">
            <v>56510</v>
          </cell>
        </row>
        <row r="17">
          <cell r="C17">
            <v>56428</v>
          </cell>
        </row>
        <row r="18">
          <cell r="C18">
            <v>0.99854892939302775</v>
          </cell>
        </row>
        <row r="27">
          <cell r="C27">
            <v>8466</v>
          </cell>
        </row>
        <row r="28">
          <cell r="C28">
            <v>8846</v>
          </cell>
        </row>
      </sheetData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New Metered Connections"/>
      <sheetName val="DNO Names"/>
      <sheetName val="2. Out of area networks"/>
      <sheetName val="3. Enquiries Handled"/>
      <sheetName val="4. Connection Charges"/>
    </sheetNames>
    <sheetDataSet>
      <sheetData sheetId="0"/>
      <sheetData sheetId="1"/>
      <sheetData sheetId="2">
        <row r="188">
          <cell r="L188" t="str">
            <v>Northern Gas Networks Ltd</v>
          </cell>
        </row>
        <row r="189">
          <cell r="L189" t="str">
            <v>National Grid Gas plc North West</v>
          </cell>
        </row>
        <row r="190">
          <cell r="L190" t="str">
            <v>National Grid Gas plc West Midlands</v>
          </cell>
        </row>
        <row r="191">
          <cell r="L191" t="str">
            <v>National Grid Gas plc East of England</v>
          </cell>
        </row>
        <row r="192">
          <cell r="L192" t="str">
            <v>National Grid Gas plc London</v>
          </cell>
        </row>
        <row r="193">
          <cell r="L193" t="str">
            <v>Scotland Gas Networks plc</v>
          </cell>
        </row>
        <row r="194">
          <cell r="L194" t="str">
            <v>Southern Gas Networks plc</v>
          </cell>
        </row>
        <row r="195">
          <cell r="L195" t="str">
            <v>Wales and West Utilities Ltd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AF236"/>
  <sheetViews>
    <sheetView tabSelected="1" zoomScale="70" zoomScaleNormal="70" workbookViewId="0">
      <selection activeCell="F7" sqref="F7"/>
    </sheetView>
  </sheetViews>
  <sheetFormatPr defaultRowHeight="12.75"/>
  <cols>
    <col min="1" max="1" width="43.42578125" style="7" customWidth="1"/>
    <col min="2" max="2" width="15" style="9" customWidth="1"/>
    <col min="3" max="3" width="15" style="7" customWidth="1"/>
    <col min="4" max="4" width="15" style="8" customWidth="1"/>
    <col min="5" max="10" width="15" style="7" customWidth="1"/>
    <col min="11" max="11" width="19.85546875" style="7" bestFit="1" customWidth="1"/>
    <col min="12" max="12" width="44.140625" style="7" customWidth="1"/>
    <col min="13" max="20" width="9.85546875" style="7" bestFit="1" customWidth="1"/>
    <col min="21" max="21" width="12.140625" style="7" bestFit="1" customWidth="1"/>
    <col min="22" max="22" width="9.140625" style="7"/>
    <col min="23" max="23" width="44" style="7" customWidth="1"/>
    <col min="24" max="24" width="11.5703125" style="7" bestFit="1" customWidth="1"/>
    <col min="25" max="25" width="11.7109375" style="7" bestFit="1" customWidth="1"/>
    <col min="26" max="28" width="11.5703125" style="7" bestFit="1" customWidth="1"/>
    <col min="29" max="30" width="11.7109375" style="7" bestFit="1" customWidth="1"/>
    <col min="31" max="31" width="11.5703125" style="7" bestFit="1" customWidth="1"/>
    <col min="32" max="32" width="13.28515625" style="7" customWidth="1"/>
    <col min="33" max="16384" width="9.140625" style="7"/>
  </cols>
  <sheetData>
    <row r="1" spans="1:32" s="3" customFormat="1" ht="24.75">
      <c r="A1" s="1" t="str">
        <f>'[6]Universal data'!A1</f>
        <v>Regulatory Reporting Pack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s="3" customFormat="1" ht="24.75">
      <c r="A2" s="4" t="str">
        <f>'[6]Universal data'!A2</f>
        <v>Northern Gas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s="3" customFormat="1" ht="24.75">
      <c r="A3" s="5" t="str">
        <f>+'[6]Universal data'!A3</f>
        <v>2014/15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5" spans="1:32" ht="19.5">
      <c r="A5" s="6" t="s">
        <v>0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</row>
    <row r="6" spans="1:32" s="6" customFormat="1" ht="19.5"/>
    <row r="7" spans="1:32">
      <c r="A7" s="8" t="s">
        <v>1</v>
      </c>
    </row>
    <row r="8" spans="1:32">
      <c r="A8" s="9" t="str">
        <f>$A$3&amp;" prices"</f>
        <v>2014/15 prices</v>
      </c>
    </row>
    <row r="9" spans="1:32" ht="12.75" customHeight="1">
      <c r="A9" s="10"/>
      <c r="B9" s="464" t="s">
        <v>2</v>
      </c>
      <c r="C9" s="466" t="s">
        <v>3</v>
      </c>
      <c r="D9" s="467"/>
      <c r="E9" s="467"/>
      <c r="F9" s="467"/>
      <c r="G9" s="467"/>
      <c r="H9" s="467"/>
      <c r="I9" s="468"/>
      <c r="J9" s="11"/>
    </row>
    <row r="10" spans="1:32">
      <c r="A10" s="12"/>
      <c r="B10" s="465"/>
      <c r="C10" s="469"/>
      <c r="D10" s="470"/>
      <c r="E10" s="470"/>
      <c r="F10" s="470"/>
      <c r="G10" s="470"/>
      <c r="H10" s="470"/>
      <c r="I10" s="471"/>
      <c r="J10" s="13"/>
    </row>
    <row r="11" spans="1:32" ht="25.5">
      <c r="A11" s="14" t="s">
        <v>4</v>
      </c>
      <c r="B11" s="15">
        <v>2014</v>
      </c>
      <c r="C11" s="16">
        <v>2015</v>
      </c>
      <c r="D11" s="16">
        <v>2016</v>
      </c>
      <c r="E11" s="17">
        <v>2017</v>
      </c>
      <c r="F11" s="16">
        <v>2018</v>
      </c>
      <c r="G11" s="17">
        <v>2019</v>
      </c>
      <c r="H11" s="16">
        <v>2020</v>
      </c>
      <c r="I11" s="18">
        <v>2021</v>
      </c>
      <c r="J11" s="19" t="s">
        <v>5</v>
      </c>
    </row>
    <row r="12" spans="1:32">
      <c r="A12" s="20" t="s">
        <v>6</v>
      </c>
      <c r="B12" s="21">
        <f t="shared" ref="B12:B36" si="0">+B62</f>
        <v>9.0411062697280027</v>
      </c>
      <c r="C12" s="21">
        <f>+'[6]4.1 Capex Summary '!$H$8</f>
        <v>14.993</v>
      </c>
      <c r="D12" s="22">
        <v>16.109004777486582</v>
      </c>
      <c r="E12" s="22">
        <v>15.070386004915724</v>
      </c>
      <c r="F12" s="22">
        <v>11.391117231580392</v>
      </c>
      <c r="G12" s="22">
        <v>13.872497348371914</v>
      </c>
      <c r="H12" s="22">
        <v>13.458319500988575</v>
      </c>
      <c r="I12" s="22">
        <v>12.854370357098114</v>
      </c>
      <c r="J12" s="23">
        <f>SUM(B12:I12)</f>
        <v>106.78980149016931</v>
      </c>
    </row>
    <row r="13" spans="1:32">
      <c r="A13" s="20" t="s">
        <v>7</v>
      </c>
      <c r="B13" s="24">
        <f t="shared" si="0"/>
        <v>6.6670216061998948</v>
      </c>
      <c r="C13" s="24">
        <f>+'[6]4.1 Capex Summary '!$H$11</f>
        <v>6.8129999999999988</v>
      </c>
      <c r="D13" s="25">
        <v>8.244889703628882</v>
      </c>
      <c r="E13" s="25">
        <v>7.3871925117300963</v>
      </c>
      <c r="F13" s="25">
        <v>7.0871925117300965</v>
      </c>
      <c r="G13" s="25">
        <v>6.8871925117300963</v>
      </c>
      <c r="H13" s="25">
        <v>6.7871925117300957</v>
      </c>
      <c r="I13" s="25">
        <v>6.6871925117300961</v>
      </c>
      <c r="J13" s="26">
        <f t="shared" ref="J13:J18" si="1">SUM(B13:I13)</f>
        <v>56.560873868479263</v>
      </c>
    </row>
    <row r="14" spans="1:32">
      <c r="A14" s="20" t="s">
        <v>8</v>
      </c>
      <c r="B14" s="24">
        <f t="shared" si="0"/>
        <v>2.9163698263754898</v>
      </c>
      <c r="C14" s="24">
        <f>+'[6]4.1 Capex Summary '!$H$9</f>
        <v>1.778</v>
      </c>
      <c r="D14" s="25">
        <v>1.9280068710062683</v>
      </c>
      <c r="E14" s="25">
        <v>2.8320188465613438</v>
      </c>
      <c r="F14" s="25">
        <v>4.1349991348962485</v>
      </c>
      <c r="G14" s="25">
        <v>4.0288494354880413</v>
      </c>
      <c r="H14" s="25">
        <v>4.0285613182736082</v>
      </c>
      <c r="I14" s="25">
        <v>3.9270680420413751</v>
      </c>
      <c r="J14" s="26">
        <f t="shared" si="1"/>
        <v>25.573873474642376</v>
      </c>
    </row>
    <row r="15" spans="1:32">
      <c r="A15" s="20" t="s">
        <v>9</v>
      </c>
      <c r="B15" s="24">
        <f t="shared" si="0"/>
        <v>2.0803070736546396</v>
      </c>
      <c r="C15" s="24">
        <f>+'[6]4.1 Capex Summary '!$H$10</f>
        <v>1.377</v>
      </c>
      <c r="D15" s="25">
        <v>2.1309549626911388</v>
      </c>
      <c r="E15" s="25">
        <v>2.3263011953896751</v>
      </c>
      <c r="F15" s="25">
        <v>1.7593615933924764</v>
      </c>
      <c r="G15" s="25">
        <v>1.7581507321035172</v>
      </c>
      <c r="H15" s="25">
        <v>1.7580250005517186</v>
      </c>
      <c r="I15" s="25">
        <v>1.7588325929614017</v>
      </c>
      <c r="J15" s="26">
        <f t="shared" si="1"/>
        <v>14.948933150744569</v>
      </c>
    </row>
    <row r="16" spans="1:32">
      <c r="A16" s="20" t="s">
        <v>10</v>
      </c>
      <c r="B16" s="24">
        <f t="shared" si="0"/>
        <v>20.337135895750922</v>
      </c>
      <c r="C16" s="24">
        <f>+'[6]4.1 Capex Summary '!$H$12</f>
        <v>23.619000000000003</v>
      </c>
      <c r="D16" s="25">
        <v>28.513614337850637</v>
      </c>
      <c r="E16" s="25">
        <v>23.936080097885711</v>
      </c>
      <c r="F16" s="25">
        <v>18.592660556884443</v>
      </c>
      <c r="G16" s="25">
        <v>16.646077630482441</v>
      </c>
      <c r="H16" s="25">
        <v>17.774387641478185</v>
      </c>
      <c r="I16" s="25">
        <v>17.275102950663719</v>
      </c>
      <c r="J16" s="26">
        <f t="shared" si="1"/>
        <v>166.69405911099608</v>
      </c>
    </row>
    <row r="17" spans="1:12">
      <c r="A17" s="27" t="s">
        <v>11</v>
      </c>
      <c r="B17" s="28">
        <f t="shared" si="0"/>
        <v>5.4191373526433875</v>
      </c>
      <c r="C17" s="28">
        <f>+'[6]4.7 Other Capex '!$E$10</f>
        <v>4.8790000000000004</v>
      </c>
      <c r="D17" s="25">
        <v>6.93</v>
      </c>
      <c r="E17" s="25">
        <v>6.9</v>
      </c>
      <c r="F17" s="25">
        <v>5.9136660372968795</v>
      </c>
      <c r="G17" s="25">
        <v>5.8117062780331405</v>
      </c>
      <c r="H17" s="25">
        <v>5.8117062780331405</v>
      </c>
      <c r="I17" s="25">
        <v>5.8117062780331405</v>
      </c>
      <c r="J17" s="29">
        <f t="shared" si="1"/>
        <v>47.47692222403969</v>
      </c>
    </row>
    <row r="18" spans="1:12">
      <c r="A18" s="27" t="s">
        <v>12</v>
      </c>
      <c r="B18" s="28">
        <f t="shared" si="0"/>
        <v>3.9845873920269317</v>
      </c>
      <c r="C18" s="28">
        <f>+'[6]4.7 Other Capex '!$E$14</f>
        <v>4.4660000000000002</v>
      </c>
      <c r="D18" s="30">
        <v>3.85</v>
      </c>
      <c r="E18" s="30">
        <v>1.8</v>
      </c>
      <c r="F18" s="30">
        <v>0.10195975926373931</v>
      </c>
      <c r="G18" s="30">
        <v>0.10195975926373931</v>
      </c>
      <c r="H18" s="30">
        <v>3.7725110927583545</v>
      </c>
      <c r="I18" s="30">
        <v>3.2627122964396578</v>
      </c>
      <c r="J18" s="29">
        <f t="shared" si="1"/>
        <v>21.339730299752425</v>
      </c>
    </row>
    <row r="19" spans="1:12">
      <c r="A19" s="31" t="s">
        <v>13</v>
      </c>
      <c r="B19" s="32">
        <f>SUM(B12:B16)</f>
        <v>41.04194067170895</v>
      </c>
      <c r="C19" s="32">
        <f>SUM(C12:C16)</f>
        <v>48.58</v>
      </c>
      <c r="D19" s="33">
        <f t="shared" ref="D19:I19" si="2">SUM(D12:D16)</f>
        <v>56.926470652663511</v>
      </c>
      <c r="E19" s="33">
        <f t="shared" si="2"/>
        <v>51.551978656482547</v>
      </c>
      <c r="F19" s="33">
        <f t="shared" si="2"/>
        <v>42.965331028483661</v>
      </c>
      <c r="G19" s="33">
        <f t="shared" si="2"/>
        <v>43.19276765817601</v>
      </c>
      <c r="H19" s="33">
        <f t="shared" si="2"/>
        <v>43.806485973022184</v>
      </c>
      <c r="I19" s="33">
        <f t="shared" si="2"/>
        <v>42.502566454494705</v>
      </c>
      <c r="J19" s="32">
        <f>SUM(B19:I19)</f>
        <v>370.56754109503157</v>
      </c>
    </row>
    <row r="20" spans="1:12">
      <c r="A20" s="20" t="s">
        <v>14</v>
      </c>
      <c r="B20" s="24">
        <f t="shared" si="0"/>
        <v>65.694584438711317</v>
      </c>
      <c r="C20" s="21">
        <f>+'[6]5.1 Repex summary'!$F$9+'[6]5.1 Repex summary'!$F$10</f>
        <v>71.654000000000011</v>
      </c>
      <c r="D20" s="22">
        <v>63.424774803047903</v>
      </c>
      <c r="E20" s="22">
        <v>59.609647910604167</v>
      </c>
      <c r="F20" s="22">
        <v>58.020372751237822</v>
      </c>
      <c r="G20" s="22">
        <v>57.446963137441116</v>
      </c>
      <c r="H20" s="22">
        <v>54.100044393261342</v>
      </c>
      <c r="I20" s="22">
        <v>54.100044393261342</v>
      </c>
      <c r="J20" s="34">
        <f>SUM(B20:I20)</f>
        <v>484.05043182756498</v>
      </c>
    </row>
    <row r="21" spans="1:12">
      <c r="A21" s="20" t="s">
        <v>15</v>
      </c>
      <c r="B21" s="24">
        <f t="shared" si="0"/>
        <v>24.242394904228135</v>
      </c>
      <c r="C21" s="24">
        <f>+'[6]5.1 Repex summary'!$F$13+'[6]5.1 Repex summary'!F11+'[6]5.1 Repex summary'!F12</f>
        <v>22.747000000000003</v>
      </c>
      <c r="D21" s="25">
        <v>25.363025062143592</v>
      </c>
      <c r="E21" s="25">
        <v>24.283764346953358</v>
      </c>
      <c r="F21" s="25">
        <v>23.805044814627109</v>
      </c>
      <c r="G21" s="25">
        <v>23.570288354412995</v>
      </c>
      <c r="H21" s="25">
        <v>22.496841719848504</v>
      </c>
      <c r="I21" s="25">
        <v>22.496841719848504</v>
      </c>
      <c r="J21" s="35">
        <f>SUM(B21:I21)</f>
        <v>189.00520092206222</v>
      </c>
    </row>
    <row r="22" spans="1:12">
      <c r="A22" s="20" t="s">
        <v>16</v>
      </c>
      <c r="B22" s="24">
        <f t="shared" si="0"/>
        <v>9.4205036441344828E-2</v>
      </c>
      <c r="C22" s="36">
        <f>+'[6]5.1 Repex summary'!$F$14</f>
        <v>3.2000000000000001E-2</v>
      </c>
      <c r="D22" s="30">
        <v>0.2030225272815992</v>
      </c>
      <c r="E22" s="30">
        <v>0.20231808459077724</v>
      </c>
      <c r="F22" s="30">
        <v>0.20237721853832236</v>
      </c>
      <c r="G22" s="30">
        <v>0.20240115603466996</v>
      </c>
      <c r="H22" s="30">
        <v>0.20254111154857179</v>
      </c>
      <c r="I22" s="30">
        <v>0.20254111154857179</v>
      </c>
      <c r="J22" s="37">
        <f>SUM(B22:I22)</f>
        <v>1.3414062459838572</v>
      </c>
    </row>
    <row r="23" spans="1:12" ht="15">
      <c r="A23" s="31" t="s">
        <v>17</v>
      </c>
      <c r="B23" s="32">
        <f t="shared" ref="B23:I23" si="3">SUM(B20:B22)</f>
        <v>90.031184379380804</v>
      </c>
      <c r="C23" s="32">
        <f t="shared" si="3"/>
        <v>94.433000000000007</v>
      </c>
      <c r="D23" s="32">
        <f t="shared" si="3"/>
        <v>88.990822392473092</v>
      </c>
      <c r="E23" s="38">
        <f t="shared" si="3"/>
        <v>84.0957303421483</v>
      </c>
      <c r="F23" s="32">
        <f t="shared" si="3"/>
        <v>82.027794784403255</v>
      </c>
      <c r="G23" s="32">
        <f t="shared" si="3"/>
        <v>81.219652647888779</v>
      </c>
      <c r="H23" s="32">
        <f t="shared" si="3"/>
        <v>76.799427224658416</v>
      </c>
      <c r="I23" s="32">
        <f t="shared" si="3"/>
        <v>76.799427224658416</v>
      </c>
      <c r="J23" s="33">
        <f>SUM(B23:I23)</f>
        <v>674.39703899561107</v>
      </c>
      <c r="L23" s="39"/>
    </row>
    <row r="24" spans="1:12">
      <c r="A24" s="40" t="s">
        <v>18</v>
      </c>
      <c r="B24" s="24">
        <f t="shared" si="0"/>
        <v>13.627507663303071</v>
      </c>
      <c r="C24" s="41">
        <f>'[6]3.1 Opex cost matrix'!$H$36</f>
        <v>15.851000000000003</v>
      </c>
      <c r="D24" s="22">
        <v>15.90566651858245</v>
      </c>
      <c r="E24" s="22">
        <v>16.505666518582451</v>
      </c>
      <c r="F24" s="22">
        <v>16.305666518582452</v>
      </c>
      <c r="G24" s="22">
        <v>16.105666518582453</v>
      </c>
      <c r="H24" s="22">
        <v>16.505666518582455</v>
      </c>
      <c r="I24" s="22">
        <v>16.905666518582457</v>
      </c>
      <c r="J24" s="42">
        <f t="shared" ref="J24:J37" si="4">SUM(B24:I24)</f>
        <v>127.71250677479779</v>
      </c>
    </row>
    <row r="25" spans="1:12">
      <c r="A25" s="40" t="s">
        <v>19</v>
      </c>
      <c r="B25" s="24">
        <f t="shared" si="0"/>
        <v>10.003558347666473</v>
      </c>
      <c r="C25" s="24">
        <f>'[6]3.1 Opex cost matrix'!$I$36</f>
        <v>10.208</v>
      </c>
      <c r="D25" s="25">
        <v>11</v>
      </c>
      <c r="E25" s="25">
        <v>10.8</v>
      </c>
      <c r="F25" s="25">
        <v>10.6</v>
      </c>
      <c r="G25" s="25">
        <v>10.4</v>
      </c>
      <c r="H25" s="25">
        <v>10.199999999999999</v>
      </c>
      <c r="I25" s="25">
        <v>10</v>
      </c>
      <c r="J25" s="42">
        <f t="shared" si="4"/>
        <v>83.211558347666482</v>
      </c>
    </row>
    <row r="26" spans="1:12">
      <c r="A26" s="40" t="s">
        <v>20</v>
      </c>
      <c r="B26" s="24">
        <f t="shared" si="0"/>
        <v>16.677987088581556</v>
      </c>
      <c r="C26" s="24">
        <f>'[6]3.1 Opex cost matrix'!$J$36</f>
        <v>14.982000000000001</v>
      </c>
      <c r="D26" s="25">
        <v>16.3</v>
      </c>
      <c r="E26" s="25">
        <v>16</v>
      </c>
      <c r="F26" s="25">
        <v>15.7</v>
      </c>
      <c r="G26" s="25">
        <v>15.45</v>
      </c>
      <c r="H26" s="25">
        <v>15.3</v>
      </c>
      <c r="I26" s="25">
        <v>15.1</v>
      </c>
      <c r="J26" s="42">
        <f t="shared" si="4"/>
        <v>125.50998708858155</v>
      </c>
    </row>
    <row r="27" spans="1:12">
      <c r="A27" s="40" t="s">
        <v>21</v>
      </c>
      <c r="B27" s="24">
        <f t="shared" si="0"/>
        <v>8.5087628012641066</v>
      </c>
      <c r="C27" s="24">
        <f>'[6]3.1 Opex cost matrix'!$K$36</f>
        <v>9.3650000000000002</v>
      </c>
      <c r="D27" s="25">
        <v>8.9</v>
      </c>
      <c r="E27" s="25">
        <v>8.8000000000000007</v>
      </c>
      <c r="F27" s="25">
        <v>8.6999999999999993</v>
      </c>
      <c r="G27" s="25">
        <v>8.6</v>
      </c>
      <c r="H27" s="25">
        <v>8.5</v>
      </c>
      <c r="I27" s="25">
        <v>8.4</v>
      </c>
      <c r="J27" s="42">
        <f t="shared" si="4"/>
        <v>69.773762801264112</v>
      </c>
    </row>
    <row r="28" spans="1:12">
      <c r="A28" s="40" t="s">
        <v>22</v>
      </c>
      <c r="B28" s="24">
        <f t="shared" si="0"/>
        <v>0</v>
      </c>
      <c r="C28" s="24">
        <f>'[6]3.1 Opex cost matrix'!$L$36</f>
        <v>0</v>
      </c>
      <c r="D28" s="43" t="s">
        <v>23</v>
      </c>
      <c r="E28" s="43" t="s">
        <v>23</v>
      </c>
      <c r="F28" s="43" t="s">
        <v>23</v>
      </c>
      <c r="G28" s="43" t="s">
        <v>23</v>
      </c>
      <c r="H28" s="43" t="s">
        <v>23</v>
      </c>
      <c r="I28" s="43" t="s">
        <v>23</v>
      </c>
      <c r="J28" s="42">
        <f t="shared" si="4"/>
        <v>0</v>
      </c>
    </row>
    <row r="29" spans="1:12">
      <c r="A29" s="40" t="s">
        <v>24</v>
      </c>
      <c r="B29" s="24">
        <f t="shared" si="0"/>
        <v>6.9388248652479128</v>
      </c>
      <c r="C29" s="24">
        <f>'[6]3.1 Opex cost matrix'!$M$36</f>
        <v>6.859</v>
      </c>
      <c r="D29" s="25">
        <v>6.8099108623200957</v>
      </c>
      <c r="E29" s="25">
        <v>6.7599108623200959</v>
      </c>
      <c r="F29" s="25">
        <v>6.709910862320096</v>
      </c>
      <c r="G29" s="25">
        <v>6.6599108623200962</v>
      </c>
      <c r="H29" s="25">
        <v>6.6099108623200964</v>
      </c>
      <c r="I29" s="25">
        <v>6.5599108623200966</v>
      </c>
      <c r="J29" s="42">
        <f t="shared" si="4"/>
        <v>53.907290039168487</v>
      </c>
    </row>
    <row r="30" spans="1:12">
      <c r="A30" s="27" t="s">
        <v>25</v>
      </c>
      <c r="B30" s="24">
        <f t="shared" si="0"/>
        <v>3.8813113322710979</v>
      </c>
      <c r="C30" s="28">
        <f>'[6]3.1 Opex cost matrix'!$Z$21</f>
        <v>4.2720000000000002</v>
      </c>
      <c r="D30" s="25">
        <v>4.2723969999999998</v>
      </c>
      <c r="E30" s="25">
        <v>4.2723969999999998</v>
      </c>
      <c r="F30" s="25">
        <v>4.2723969999999998</v>
      </c>
      <c r="G30" s="25">
        <v>4.2723969999999998</v>
      </c>
      <c r="H30" s="25">
        <v>4.2723969999999998</v>
      </c>
      <c r="I30" s="25">
        <v>4.2723969999999998</v>
      </c>
      <c r="J30" s="44">
        <f t="shared" si="4"/>
        <v>33.78769333227109</v>
      </c>
    </row>
    <row r="31" spans="1:12">
      <c r="A31" s="45" t="s">
        <v>26</v>
      </c>
      <c r="B31" s="46">
        <f>SUM(B24:B29)</f>
        <v>55.756640766063114</v>
      </c>
      <c r="C31" s="46">
        <f>SUM(C24:C29)</f>
        <v>57.265000000000008</v>
      </c>
      <c r="D31" s="46">
        <f t="shared" ref="D31:I31" si="5">SUM(D24:D29)</f>
        <v>58.91557738090254</v>
      </c>
      <c r="E31" s="47">
        <f t="shared" si="5"/>
        <v>58.86557738090255</v>
      </c>
      <c r="F31" s="46">
        <f t="shared" si="5"/>
        <v>58.015577380902549</v>
      </c>
      <c r="G31" s="46">
        <f t="shared" si="5"/>
        <v>57.215577380902545</v>
      </c>
      <c r="H31" s="46">
        <f t="shared" si="5"/>
        <v>57.115577380902558</v>
      </c>
      <c r="I31" s="46">
        <f t="shared" si="5"/>
        <v>56.965577380902552</v>
      </c>
      <c r="J31" s="46">
        <f t="shared" si="4"/>
        <v>460.11510505147839</v>
      </c>
    </row>
    <row r="32" spans="1:12">
      <c r="A32" s="40" t="s">
        <v>27</v>
      </c>
      <c r="B32" s="24">
        <f t="shared" si="0"/>
        <v>24.00316040884033</v>
      </c>
      <c r="C32" s="48">
        <f>'[6]3.1 Opex cost matrix'!$V$36+'[6]3.1 Opex cost matrix'!$W$36</f>
        <v>24.559000000000005</v>
      </c>
      <c r="D32" s="22">
        <v>23.654752787453397</v>
      </c>
      <c r="E32" s="22">
        <v>21.954752787453394</v>
      </c>
      <c r="F32" s="22">
        <v>21.604752787453393</v>
      </c>
      <c r="G32" s="22">
        <v>21.254752787453395</v>
      </c>
      <c r="H32" s="22">
        <v>20.904752787453393</v>
      </c>
      <c r="I32" s="22">
        <v>20.554752787453392</v>
      </c>
      <c r="J32" s="49">
        <f t="shared" si="4"/>
        <v>178.49067713356069</v>
      </c>
    </row>
    <row r="33" spans="1:21">
      <c r="A33" s="40" t="s">
        <v>28</v>
      </c>
      <c r="B33" s="24">
        <f t="shared" si="0"/>
        <v>2.4678725641299031</v>
      </c>
      <c r="C33" s="48">
        <f>+'[6]3.1 Opex cost matrix'!$Y$36</f>
        <v>2.3919999999999995</v>
      </c>
      <c r="D33" s="25">
        <v>2.4</v>
      </c>
      <c r="E33" s="25">
        <v>2.4</v>
      </c>
      <c r="F33" s="25">
        <v>2.4</v>
      </c>
      <c r="G33" s="25">
        <v>2.4</v>
      </c>
      <c r="H33" s="25">
        <v>2.4</v>
      </c>
      <c r="I33" s="25">
        <v>2.4</v>
      </c>
      <c r="J33" s="49">
        <f t="shared" si="4"/>
        <v>19.259872564129903</v>
      </c>
    </row>
    <row r="34" spans="1:21">
      <c r="A34" s="50" t="s">
        <v>29</v>
      </c>
      <c r="B34" s="24">
        <f t="shared" si="0"/>
        <v>26.471032972970235</v>
      </c>
      <c r="C34" s="24">
        <f>SUM(C32:C33)</f>
        <v>26.951000000000004</v>
      </c>
      <c r="D34" s="46">
        <f t="shared" ref="D34:I34" si="6">SUM(D32:D33)</f>
        <v>26.054752787453396</v>
      </c>
      <c r="E34" s="46">
        <f t="shared" si="6"/>
        <v>24.354752787453393</v>
      </c>
      <c r="F34" s="46">
        <f t="shared" si="6"/>
        <v>24.004752787453391</v>
      </c>
      <c r="G34" s="46">
        <f t="shared" si="6"/>
        <v>23.654752787453393</v>
      </c>
      <c r="H34" s="46">
        <f t="shared" si="6"/>
        <v>23.304752787453392</v>
      </c>
      <c r="I34" s="46">
        <f t="shared" si="6"/>
        <v>22.954752787453391</v>
      </c>
      <c r="J34" s="41">
        <f t="shared" si="4"/>
        <v>197.75054969769062</v>
      </c>
    </row>
    <row r="35" spans="1:21">
      <c r="A35" s="51" t="s">
        <v>30</v>
      </c>
      <c r="B35" s="46">
        <f>SUM(B34,B31)</f>
        <v>82.227673739033349</v>
      </c>
      <c r="C35" s="46">
        <f>SUM(C34,C31)</f>
        <v>84.216000000000008</v>
      </c>
      <c r="D35" s="46">
        <f t="shared" ref="D35:I35" si="7">SUM(D34,D31)</f>
        <v>84.970330168355929</v>
      </c>
      <c r="E35" s="46">
        <f t="shared" si="7"/>
        <v>83.220330168355943</v>
      </c>
      <c r="F35" s="46">
        <f t="shared" si="7"/>
        <v>82.02033016835594</v>
      </c>
      <c r="G35" s="46">
        <f t="shared" si="7"/>
        <v>80.870330168355935</v>
      </c>
      <c r="H35" s="46">
        <f t="shared" si="7"/>
        <v>80.420330168355946</v>
      </c>
      <c r="I35" s="46">
        <f t="shared" si="7"/>
        <v>79.920330168355946</v>
      </c>
      <c r="J35" s="46">
        <f t="shared" si="4"/>
        <v>657.86565474916893</v>
      </c>
    </row>
    <row r="36" spans="1:21" ht="15">
      <c r="A36" s="52" t="s">
        <v>31</v>
      </c>
      <c r="B36" s="24">
        <f t="shared" si="0"/>
        <v>1.8363503226099476E-2</v>
      </c>
      <c r="C36" s="53">
        <f>+'[6]5.6 UNC Sub Deducts'!$I$18+'[6]5.6 UNC Sub Deducts'!$H$18</f>
        <v>6.5000000000000002E-2</v>
      </c>
      <c r="D36" s="54">
        <f>C36</f>
        <v>6.5000000000000002E-2</v>
      </c>
      <c r="E36" s="54">
        <f t="shared" ref="E36:I36" si="8">D36</f>
        <v>6.5000000000000002E-2</v>
      </c>
      <c r="F36" s="54">
        <f t="shared" si="8"/>
        <v>6.5000000000000002E-2</v>
      </c>
      <c r="G36" s="54">
        <f t="shared" si="8"/>
        <v>6.5000000000000002E-2</v>
      </c>
      <c r="H36" s="54">
        <f t="shared" si="8"/>
        <v>6.5000000000000002E-2</v>
      </c>
      <c r="I36" s="54">
        <f t="shared" si="8"/>
        <v>6.5000000000000002E-2</v>
      </c>
      <c r="J36" s="53"/>
      <c r="L36" s="39"/>
    </row>
    <row r="37" spans="1:21">
      <c r="A37" s="55" t="s">
        <v>32</v>
      </c>
      <c r="B37" s="56">
        <f t="shared" ref="B37:I37" si="9">SUM(B35,B23,B19)</f>
        <v>213.30079879012308</v>
      </c>
      <c r="C37" s="56">
        <f t="shared" si="9"/>
        <v>227.22899999999998</v>
      </c>
      <c r="D37" s="56">
        <f t="shared" si="9"/>
        <v>230.88762321349253</v>
      </c>
      <c r="E37" s="56">
        <f t="shared" si="9"/>
        <v>218.86803916698682</v>
      </c>
      <c r="F37" s="56">
        <f t="shared" si="9"/>
        <v>207.01345598124286</v>
      </c>
      <c r="G37" s="56">
        <f t="shared" si="9"/>
        <v>205.28275047442071</v>
      </c>
      <c r="H37" s="56">
        <f t="shared" si="9"/>
        <v>201.02624336603654</v>
      </c>
      <c r="I37" s="56">
        <f t="shared" si="9"/>
        <v>199.22232384750907</v>
      </c>
      <c r="J37" s="56">
        <f t="shared" si="4"/>
        <v>1702.830234839812</v>
      </c>
    </row>
    <row r="38" spans="1:21">
      <c r="A38" s="57" t="s">
        <v>33</v>
      </c>
      <c r="B38" s="58"/>
      <c r="C38" s="58"/>
      <c r="D38" s="59"/>
      <c r="E38" s="58"/>
      <c r="F38" s="58"/>
      <c r="G38" s="58"/>
      <c r="H38" s="58"/>
      <c r="I38" s="58"/>
      <c r="J38" s="60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</row>
    <row r="39" spans="1:21">
      <c r="A39" s="40" t="s">
        <v>34</v>
      </c>
      <c r="B39" s="24">
        <f t="shared" ref="B39:B42" si="10">+B89</f>
        <v>46.918788661518633</v>
      </c>
      <c r="C39" s="41">
        <f>'[6]3.1 Opex cost matrix'!$AE$66-'2.2 Totex costs summary'!$C$40-'2.2 Totex costs summary'!$C$41-'2.2 Totex costs summary'!$C$42</f>
        <v>48.218999999999994</v>
      </c>
      <c r="D39" s="25">
        <v>49.521702335606896</v>
      </c>
      <c r="E39" s="25">
        <v>49.221035875486344</v>
      </c>
      <c r="F39" s="25">
        <v>49.108515762197882</v>
      </c>
      <c r="G39" s="25">
        <v>46.629572320141385</v>
      </c>
      <c r="H39" s="25">
        <v>46.527382415840627</v>
      </c>
      <c r="I39" s="25">
        <v>46.536050328508821</v>
      </c>
      <c r="J39" s="62">
        <f>SUM(B39:I39)</f>
        <v>382.6820476993006</v>
      </c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</row>
    <row r="40" spans="1:21">
      <c r="A40" s="40" t="s">
        <v>35</v>
      </c>
      <c r="B40" s="24">
        <f t="shared" si="10"/>
        <v>6.7893952080766953</v>
      </c>
      <c r="C40" s="24">
        <f>'[6]3.1 Opex cost matrix'!$AE$54</f>
        <v>8.6679999999999993</v>
      </c>
      <c r="D40" s="25">
        <v>7.4143455755484338</v>
      </c>
      <c r="E40" s="25">
        <v>7.7010835477430506</v>
      </c>
      <c r="F40" s="25">
        <v>10.906510805345366</v>
      </c>
      <c r="G40" s="25">
        <v>10.383505052386587</v>
      </c>
      <c r="H40" s="25">
        <v>10.116198555824692</v>
      </c>
      <c r="I40" s="25">
        <v>9.7874493848492659</v>
      </c>
      <c r="J40" s="62">
        <f>SUM(B40:I40)</f>
        <v>71.766488129774089</v>
      </c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</row>
    <row r="41" spans="1:21">
      <c r="A41" s="40" t="s">
        <v>36</v>
      </c>
      <c r="B41" s="24">
        <f t="shared" si="10"/>
        <v>8.7711237318754911</v>
      </c>
      <c r="C41" s="24">
        <f>'[6]3.1 Opex cost matrix'!$AE$46</f>
        <v>6.2875272262678923</v>
      </c>
      <c r="D41" s="25">
        <v>5.8929122547195218</v>
      </c>
      <c r="E41" s="25">
        <v>5.7245429525033682</v>
      </c>
      <c r="F41" s="25">
        <v>5.5458748473205075</v>
      </c>
      <c r="G41" s="25">
        <v>5.3819632411788785</v>
      </c>
      <c r="H41" s="25">
        <v>5.2632722552899356</v>
      </c>
      <c r="I41" s="25">
        <v>4.6578820111264161</v>
      </c>
      <c r="J41" s="62">
        <f>SUM(B41:I41)</f>
        <v>47.525098520282008</v>
      </c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</row>
    <row r="42" spans="1:21">
      <c r="A42" s="63" t="s">
        <v>37</v>
      </c>
      <c r="B42" s="24">
        <f t="shared" si="10"/>
        <v>4.8618140865749586</v>
      </c>
      <c r="C42" s="24">
        <f>'[6]3.1 Opex cost matrix'!$AE$52</f>
        <v>4.9409999999999998</v>
      </c>
      <c r="D42" s="25">
        <v>6.8690165146660087</v>
      </c>
      <c r="E42" s="25">
        <v>6.8690165146660069</v>
      </c>
      <c r="F42" s="25">
        <v>6.8690165146660087</v>
      </c>
      <c r="G42" s="25">
        <v>6.8690165146660087</v>
      </c>
      <c r="H42" s="25">
        <v>6.8690165146660087</v>
      </c>
      <c r="I42" s="25">
        <v>6.8690165146660069</v>
      </c>
      <c r="J42" s="64">
        <f>SUM(B42:I42)</f>
        <v>51.016913174571009</v>
      </c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</row>
    <row r="43" spans="1:21">
      <c r="A43" s="65" t="s">
        <v>38</v>
      </c>
      <c r="B43" s="60">
        <f t="shared" ref="B43:J43" si="11">SUM(B39:B42)</f>
        <v>67.341121688045774</v>
      </c>
      <c r="C43" s="60">
        <f t="shared" si="11"/>
        <v>68.115527226267886</v>
      </c>
      <c r="D43" s="66">
        <f t="shared" si="11"/>
        <v>69.697976680540862</v>
      </c>
      <c r="E43" s="67">
        <f t="shared" si="11"/>
        <v>69.515678890398775</v>
      </c>
      <c r="F43" s="67">
        <f t="shared" si="11"/>
        <v>72.429917929529765</v>
      </c>
      <c r="G43" s="67">
        <f t="shared" si="11"/>
        <v>69.264057128372869</v>
      </c>
      <c r="H43" s="67">
        <f t="shared" si="11"/>
        <v>68.775869741621264</v>
      </c>
      <c r="I43" s="67">
        <f t="shared" si="11"/>
        <v>67.850398239150508</v>
      </c>
      <c r="J43" s="68">
        <f t="shared" si="11"/>
        <v>552.99054752392772</v>
      </c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</row>
    <row r="44" spans="1:21" ht="25.5">
      <c r="A44" s="65" t="s">
        <v>39</v>
      </c>
      <c r="B44" s="60">
        <f t="shared" ref="B44:J44" si="12">+B43+B37</f>
        <v>280.64192047816886</v>
      </c>
      <c r="C44" s="60">
        <f t="shared" si="12"/>
        <v>295.34452722626787</v>
      </c>
      <c r="D44" s="60">
        <f t="shared" si="12"/>
        <v>300.58559989403341</v>
      </c>
      <c r="E44" s="60">
        <f t="shared" si="12"/>
        <v>288.38371805738558</v>
      </c>
      <c r="F44" s="60">
        <f t="shared" si="12"/>
        <v>279.44337391077261</v>
      </c>
      <c r="G44" s="60">
        <f t="shared" si="12"/>
        <v>274.54680760279359</v>
      </c>
      <c r="H44" s="60">
        <f t="shared" si="12"/>
        <v>269.80211310765782</v>
      </c>
      <c r="I44" s="60">
        <f t="shared" si="12"/>
        <v>267.07272208665961</v>
      </c>
      <c r="J44" s="60">
        <f t="shared" si="12"/>
        <v>2255.8207823637395</v>
      </c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</row>
    <row r="45" spans="1:21">
      <c r="B45" s="69"/>
      <c r="C45" s="69"/>
      <c r="D45" s="70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</row>
    <row r="46" spans="1:21">
      <c r="A46" s="71" t="s">
        <v>40</v>
      </c>
      <c r="B46" s="72"/>
      <c r="C46" s="72"/>
      <c r="D46" s="73"/>
      <c r="E46" s="73"/>
      <c r="F46" s="73"/>
      <c r="G46" s="73"/>
      <c r="H46" s="73"/>
      <c r="I46" s="73"/>
      <c r="J46" s="74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</row>
    <row r="47" spans="1:21">
      <c r="A47" s="75" t="s">
        <v>41</v>
      </c>
      <c r="B47" s="24">
        <f t="shared" ref="B47:B49" si="13">+B97</f>
        <v>0</v>
      </c>
      <c r="C47" s="76">
        <f>'[6]3.1 Opex cost matrix'!$AE$41</f>
        <v>0</v>
      </c>
      <c r="D47" s="77">
        <v>0</v>
      </c>
      <c r="E47" s="78">
        <v>0</v>
      </c>
      <c r="F47" s="78">
        <v>0</v>
      </c>
      <c r="G47" s="78">
        <v>0</v>
      </c>
      <c r="H47" s="78">
        <v>0</v>
      </c>
      <c r="I47" s="78">
        <v>0</v>
      </c>
      <c r="J47" s="79">
        <f>SUM(B47:I47)</f>
        <v>0</v>
      </c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</row>
    <row r="48" spans="1:21">
      <c r="A48" s="75" t="s">
        <v>42</v>
      </c>
      <c r="B48" s="24">
        <f t="shared" si="13"/>
        <v>0.15968582675924622</v>
      </c>
      <c r="C48" s="76">
        <f>'[6]3.1 Opex cost matrix'!$AE$40</f>
        <v>1.7809999999999999</v>
      </c>
      <c r="D48" s="77">
        <f>C48</f>
        <v>1.7809999999999999</v>
      </c>
      <c r="E48" s="77">
        <f t="shared" ref="E48:I48" si="14">D48</f>
        <v>1.7809999999999999</v>
      </c>
      <c r="F48" s="77">
        <f t="shared" si="14"/>
        <v>1.7809999999999999</v>
      </c>
      <c r="G48" s="77">
        <f t="shared" si="14"/>
        <v>1.7809999999999999</v>
      </c>
      <c r="H48" s="77">
        <f t="shared" si="14"/>
        <v>1.7809999999999999</v>
      </c>
      <c r="I48" s="77">
        <f t="shared" si="14"/>
        <v>1.7809999999999999</v>
      </c>
      <c r="J48" s="76">
        <f>SUM(B48:I48)</f>
        <v>12.626685826759246</v>
      </c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</row>
    <row r="49" spans="1:32">
      <c r="A49" s="75" t="s">
        <v>43</v>
      </c>
      <c r="B49" s="24">
        <f t="shared" si="13"/>
        <v>0</v>
      </c>
      <c r="C49" s="76">
        <f>+'[6]4.8 PSUP'!$K$51+'[6]4.8 PSUP'!$G$64</f>
        <v>0</v>
      </c>
      <c r="D49" s="77">
        <v>0</v>
      </c>
      <c r="E49" s="77">
        <v>0</v>
      </c>
      <c r="F49" s="77">
        <v>3</v>
      </c>
      <c r="G49" s="77">
        <v>0</v>
      </c>
      <c r="H49" s="77">
        <v>0</v>
      </c>
      <c r="I49" s="77">
        <v>0</v>
      </c>
      <c r="J49" s="76">
        <f>SUM(B49:I49)</f>
        <v>3</v>
      </c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</row>
    <row r="50" spans="1:32">
      <c r="A50" s="40" t="s">
        <v>22</v>
      </c>
      <c r="B50" s="77">
        <v>0</v>
      </c>
      <c r="C50" s="77">
        <v>0</v>
      </c>
      <c r="D50" s="77">
        <v>0</v>
      </c>
      <c r="E50" s="77">
        <v>0</v>
      </c>
      <c r="F50" s="77">
        <v>0</v>
      </c>
      <c r="G50" s="77">
        <v>0</v>
      </c>
      <c r="H50" s="77">
        <v>0</v>
      </c>
      <c r="I50" s="77">
        <v>0</v>
      </c>
      <c r="J50" s="76">
        <f>SUM(B50:I50)</f>
        <v>0</v>
      </c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</row>
    <row r="51" spans="1:32">
      <c r="A51" s="40" t="s">
        <v>44</v>
      </c>
      <c r="B51" s="24">
        <f t="shared" ref="B51" si="15">+B101</f>
        <v>0</v>
      </c>
      <c r="C51" s="77">
        <v>0</v>
      </c>
      <c r="D51" s="77">
        <v>0</v>
      </c>
      <c r="E51" s="77">
        <v>0</v>
      </c>
      <c r="F51" s="77">
        <v>0</v>
      </c>
      <c r="G51" s="77">
        <v>0</v>
      </c>
      <c r="H51" s="77">
        <v>0</v>
      </c>
      <c r="I51" s="77">
        <v>0</v>
      </c>
      <c r="J51" s="76">
        <f>SUM(B51:I51)</f>
        <v>0</v>
      </c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</row>
    <row r="52" spans="1:32">
      <c r="A52" s="80" t="s">
        <v>45</v>
      </c>
      <c r="B52" s="67">
        <f t="shared" ref="B52:J52" si="16">SUM(B47:B51)</f>
        <v>0.15968582675924622</v>
      </c>
      <c r="C52" s="67">
        <f t="shared" si="16"/>
        <v>1.7809999999999999</v>
      </c>
      <c r="D52" s="60">
        <f t="shared" si="16"/>
        <v>1.7809999999999999</v>
      </c>
      <c r="E52" s="60">
        <f>SUM(E47:E51)</f>
        <v>1.7809999999999999</v>
      </c>
      <c r="F52" s="60">
        <f t="shared" si="16"/>
        <v>4.7809999999999997</v>
      </c>
      <c r="G52" s="60">
        <f t="shared" si="16"/>
        <v>1.7809999999999999</v>
      </c>
      <c r="H52" s="60">
        <f t="shared" si="16"/>
        <v>1.7809999999999999</v>
      </c>
      <c r="I52" s="60">
        <f t="shared" si="16"/>
        <v>1.7809999999999999</v>
      </c>
      <c r="J52" s="60">
        <f t="shared" si="16"/>
        <v>15.626685826759246</v>
      </c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</row>
    <row r="53" spans="1:32" s="86" customFormat="1">
      <c r="A53" s="81"/>
      <c r="B53" s="82"/>
      <c r="C53" s="83"/>
      <c r="D53" s="84"/>
      <c r="E53" s="83"/>
      <c r="F53" s="83"/>
      <c r="G53" s="83"/>
      <c r="H53" s="83"/>
      <c r="I53" s="83"/>
      <c r="J53" s="83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</row>
    <row r="54" spans="1:32" ht="25.5">
      <c r="A54" s="65" t="s">
        <v>46</v>
      </c>
      <c r="B54" s="87">
        <f t="shared" ref="B54:I54" si="17">+B44-B52</f>
        <v>280.48223465140961</v>
      </c>
      <c r="C54" s="87">
        <f t="shared" si="17"/>
        <v>293.56352722626787</v>
      </c>
      <c r="D54" s="87">
        <f t="shared" si="17"/>
        <v>298.8045998940334</v>
      </c>
      <c r="E54" s="87">
        <f t="shared" si="17"/>
        <v>286.60271805738557</v>
      </c>
      <c r="F54" s="87">
        <f t="shared" si="17"/>
        <v>274.6623739107726</v>
      </c>
      <c r="G54" s="87">
        <f t="shared" si="17"/>
        <v>272.76580760279359</v>
      </c>
      <c r="H54" s="87">
        <f t="shared" si="17"/>
        <v>268.02111310765781</v>
      </c>
      <c r="I54" s="87">
        <f t="shared" si="17"/>
        <v>265.2917220866596</v>
      </c>
      <c r="J54" s="87">
        <f>SUM(B54:I54)</f>
        <v>2240.1940965369799</v>
      </c>
    </row>
    <row r="55" spans="1:32">
      <c r="B55" s="69"/>
      <c r="C55" s="61"/>
      <c r="D55" s="70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</row>
    <row r="57" spans="1:32">
      <c r="A57" s="8" t="s">
        <v>47</v>
      </c>
      <c r="L57" s="8" t="s">
        <v>48</v>
      </c>
      <c r="O57" s="8"/>
      <c r="W57" s="8" t="s">
        <v>49</v>
      </c>
      <c r="Z57" s="8"/>
    </row>
    <row r="58" spans="1:32">
      <c r="A58" s="9" t="str">
        <f>+A8</f>
        <v>2014/15 prices</v>
      </c>
      <c r="O58" s="8"/>
      <c r="Z58" s="8"/>
    </row>
    <row r="59" spans="1:32" ht="12.75" customHeight="1">
      <c r="A59" s="10"/>
      <c r="B59" s="472" t="s">
        <v>50</v>
      </c>
      <c r="C59" s="473"/>
      <c r="D59" s="473"/>
      <c r="E59" s="473"/>
      <c r="F59" s="473"/>
      <c r="G59" s="473"/>
      <c r="H59" s="473"/>
      <c r="I59" s="473"/>
      <c r="J59" s="474"/>
      <c r="L59" s="10"/>
      <c r="M59" s="472"/>
      <c r="N59" s="473"/>
      <c r="O59" s="473"/>
      <c r="P59" s="473"/>
      <c r="Q59" s="473"/>
      <c r="R59" s="473"/>
      <c r="S59" s="473"/>
      <c r="T59" s="473"/>
      <c r="U59" s="474"/>
      <c r="W59" s="10"/>
      <c r="X59" s="472"/>
      <c r="Y59" s="473"/>
      <c r="Z59" s="473"/>
      <c r="AA59" s="473"/>
      <c r="AB59" s="473"/>
      <c r="AC59" s="473"/>
      <c r="AD59" s="473"/>
      <c r="AE59" s="473"/>
      <c r="AF59" s="474"/>
    </row>
    <row r="60" spans="1:32">
      <c r="A60" s="12"/>
      <c r="B60" s="475"/>
      <c r="C60" s="476"/>
      <c r="D60" s="476"/>
      <c r="E60" s="476"/>
      <c r="F60" s="476"/>
      <c r="G60" s="476"/>
      <c r="H60" s="476"/>
      <c r="I60" s="476"/>
      <c r="J60" s="477"/>
      <c r="L60" s="12"/>
      <c r="M60" s="475"/>
      <c r="N60" s="476"/>
      <c r="O60" s="476"/>
      <c r="P60" s="476"/>
      <c r="Q60" s="476"/>
      <c r="R60" s="476"/>
      <c r="S60" s="476"/>
      <c r="T60" s="476"/>
      <c r="U60" s="477"/>
      <c r="W60" s="12"/>
      <c r="X60" s="475"/>
      <c r="Y60" s="476"/>
      <c r="Z60" s="476"/>
      <c r="AA60" s="476"/>
      <c r="AB60" s="476"/>
      <c r="AC60" s="476"/>
      <c r="AD60" s="476"/>
      <c r="AE60" s="476"/>
      <c r="AF60" s="477"/>
    </row>
    <row r="61" spans="1:32" ht="25.5">
      <c r="A61" s="14" t="s">
        <v>4</v>
      </c>
      <c r="B61" s="15">
        <v>2014</v>
      </c>
      <c r="C61" s="16">
        <v>2015</v>
      </c>
      <c r="D61" s="16">
        <v>2016</v>
      </c>
      <c r="E61" s="17">
        <v>2017</v>
      </c>
      <c r="F61" s="16">
        <v>2018</v>
      </c>
      <c r="G61" s="17">
        <v>2019</v>
      </c>
      <c r="H61" s="16">
        <v>2020</v>
      </c>
      <c r="I61" s="18">
        <v>2021</v>
      </c>
      <c r="J61" s="19" t="s">
        <v>5</v>
      </c>
      <c r="L61" s="14" t="s">
        <v>4</v>
      </c>
      <c r="M61" s="15">
        <v>2014</v>
      </c>
      <c r="N61" s="16">
        <v>2015</v>
      </c>
      <c r="O61" s="16">
        <v>2016</v>
      </c>
      <c r="P61" s="17">
        <v>2017</v>
      </c>
      <c r="Q61" s="16">
        <v>2018</v>
      </c>
      <c r="R61" s="17">
        <v>2019</v>
      </c>
      <c r="S61" s="16">
        <v>2020</v>
      </c>
      <c r="T61" s="18">
        <v>2021</v>
      </c>
      <c r="U61" s="19" t="s">
        <v>5</v>
      </c>
      <c r="W61" s="14" t="s">
        <v>4</v>
      </c>
      <c r="X61" s="15">
        <v>2014</v>
      </c>
      <c r="Y61" s="16">
        <v>2015</v>
      </c>
      <c r="Z61" s="16">
        <v>2016</v>
      </c>
      <c r="AA61" s="17">
        <v>2017</v>
      </c>
      <c r="AB61" s="16">
        <v>2018</v>
      </c>
      <c r="AC61" s="17">
        <v>2019</v>
      </c>
      <c r="AD61" s="16">
        <v>2020</v>
      </c>
      <c r="AE61" s="18">
        <v>2021</v>
      </c>
      <c r="AF61" s="19" t="s">
        <v>5</v>
      </c>
    </row>
    <row r="62" spans="1:32">
      <c r="A62" s="20" t="s">
        <v>6</v>
      </c>
      <c r="B62" s="88">
        <v>9.0411062697280027</v>
      </c>
      <c r="C62" s="88">
        <v>11.119118971431613</v>
      </c>
      <c r="D62" s="88">
        <v>12.968015626553916</v>
      </c>
      <c r="E62" s="88">
        <v>14.89653501511188</v>
      </c>
      <c r="F62" s="88">
        <v>12.27835613366797</v>
      </c>
      <c r="G62" s="88">
        <v>15.221970240952938</v>
      </c>
      <c r="H62" s="88">
        <v>14.749971163714088</v>
      </c>
      <c r="I62" s="88">
        <v>14.721385948280535</v>
      </c>
      <c r="J62" s="23">
        <f>SUM(B62:I62)</f>
        <v>104.99645936944094</v>
      </c>
      <c r="K62" s="61"/>
      <c r="L62" s="20" t="s">
        <v>6</v>
      </c>
      <c r="M62" s="89">
        <f t="shared" ref="M62:U85" si="18">B12-B62</f>
        <v>0</v>
      </c>
      <c r="N62" s="88">
        <f t="shared" si="18"/>
        <v>3.8738810285683876</v>
      </c>
      <c r="O62" s="88">
        <f t="shared" si="18"/>
        <v>3.1409891509326666</v>
      </c>
      <c r="P62" s="88">
        <f t="shared" si="18"/>
        <v>0.17385098980384406</v>
      </c>
      <c r="Q62" s="88">
        <f t="shared" si="18"/>
        <v>-0.88723890208757794</v>
      </c>
      <c r="R62" s="88">
        <f t="shared" si="18"/>
        <v>-1.3494728925810247</v>
      </c>
      <c r="S62" s="88">
        <f t="shared" si="18"/>
        <v>-1.2916516627255135</v>
      </c>
      <c r="T62" s="90">
        <f t="shared" si="18"/>
        <v>-1.8670155911824207</v>
      </c>
      <c r="U62" s="23">
        <f t="shared" si="18"/>
        <v>1.7933421207283686</v>
      </c>
      <c r="W62" s="20" t="s">
        <v>6</v>
      </c>
      <c r="X62" s="91">
        <f>M62/B62</f>
        <v>0</v>
      </c>
      <c r="Y62" s="92">
        <f t="shared" ref="Y62:AF93" si="19">N62/C62</f>
        <v>0.34839819940065053</v>
      </c>
      <c r="Z62" s="92">
        <f t="shared" si="19"/>
        <v>0.24221046931043408</v>
      </c>
      <c r="AA62" s="92">
        <f t="shared" si="19"/>
        <v>1.167056564680846E-2</v>
      </c>
      <c r="AB62" s="92">
        <f t="shared" si="19"/>
        <v>-7.2260398088203115E-2</v>
      </c>
      <c r="AC62" s="92">
        <f t="shared" si="19"/>
        <v>-8.8652971410391079E-2</v>
      </c>
      <c r="AD62" s="92">
        <f t="shared" si="19"/>
        <v>-8.7569775451701401E-2</v>
      </c>
      <c r="AE62" s="93">
        <f t="shared" si="19"/>
        <v>-0.12682335737556619</v>
      </c>
      <c r="AF62" s="94">
        <f t="shared" si="19"/>
        <v>1.7080024712245852E-2</v>
      </c>
    </row>
    <row r="63" spans="1:32">
      <c r="A63" s="20" t="s">
        <v>7</v>
      </c>
      <c r="B63" s="95">
        <v>6.6670216061998948</v>
      </c>
      <c r="C63" s="95">
        <v>6.2975541077134807</v>
      </c>
      <c r="D63" s="95">
        <v>6.9162750008287546</v>
      </c>
      <c r="E63" s="95">
        <v>7.2155091479448172</v>
      </c>
      <c r="F63" s="95">
        <v>7.5195903115676854</v>
      </c>
      <c r="G63" s="95">
        <v>7.3393516860042904</v>
      </c>
      <c r="H63" s="95">
        <v>7.5347345511560064</v>
      </c>
      <c r="I63" s="95">
        <v>7.7601426103259108</v>
      </c>
      <c r="J63" s="26">
        <f t="shared" ref="J63:J68" si="20">SUM(B63:I63)</f>
        <v>57.250179021740848</v>
      </c>
      <c r="K63" s="61"/>
      <c r="L63" s="20" t="s">
        <v>7</v>
      </c>
      <c r="M63" s="96">
        <f t="shared" si="18"/>
        <v>0</v>
      </c>
      <c r="N63" s="95">
        <f t="shared" si="18"/>
        <v>0.51544589228651816</v>
      </c>
      <c r="O63" s="95">
        <f t="shared" si="18"/>
        <v>1.3286147028001274</v>
      </c>
      <c r="P63" s="95">
        <f t="shared" si="18"/>
        <v>0.17168336378527904</v>
      </c>
      <c r="Q63" s="95">
        <f t="shared" si="18"/>
        <v>-0.43239779983758897</v>
      </c>
      <c r="R63" s="95">
        <f t="shared" si="18"/>
        <v>-0.45215917427419416</v>
      </c>
      <c r="S63" s="95">
        <f t="shared" si="18"/>
        <v>-0.74754203942591069</v>
      </c>
      <c r="T63" s="97">
        <f t="shared" si="18"/>
        <v>-1.0729500985958147</v>
      </c>
      <c r="U63" s="26">
        <f t="shared" si="18"/>
        <v>-0.6893051532615857</v>
      </c>
      <c r="W63" s="20" t="s">
        <v>7</v>
      </c>
      <c r="X63" s="98">
        <f t="shared" ref="X63:AE94" si="21">M63/B63</f>
        <v>0</v>
      </c>
      <c r="Y63" s="99">
        <f t="shared" si="19"/>
        <v>8.1848584937949276E-2</v>
      </c>
      <c r="Z63" s="99">
        <f t="shared" si="19"/>
        <v>0.19209975060866202</v>
      </c>
      <c r="AA63" s="99">
        <f t="shared" si="19"/>
        <v>2.3793658945630933E-2</v>
      </c>
      <c r="AB63" s="99">
        <f t="shared" si="19"/>
        <v>-5.7502840171014931E-2</v>
      </c>
      <c r="AC63" s="99">
        <f t="shared" si="19"/>
        <v>-6.1607508894339393E-2</v>
      </c>
      <c r="AD63" s="99">
        <f t="shared" si="19"/>
        <v>-9.9212790357852756E-2</v>
      </c>
      <c r="AE63" s="100">
        <f t="shared" si="19"/>
        <v>-0.138264224315686</v>
      </c>
      <c r="AF63" s="101">
        <f t="shared" si="19"/>
        <v>-1.2040227035793565E-2</v>
      </c>
    </row>
    <row r="64" spans="1:32">
      <c r="A64" s="20" t="s">
        <v>8</v>
      </c>
      <c r="B64" s="95">
        <v>2.9163698263754898</v>
      </c>
      <c r="C64" s="95">
        <v>1.9679856586604627</v>
      </c>
      <c r="D64" s="95">
        <v>3.3738453988417771</v>
      </c>
      <c r="E64" s="95">
        <v>4.1896504730002153</v>
      </c>
      <c r="F64" s="95">
        <v>4.1033182814353619</v>
      </c>
      <c r="G64" s="95">
        <v>4.0158444421024377</v>
      </c>
      <c r="H64" s="95">
        <v>3.930235355158394</v>
      </c>
      <c r="I64" s="95">
        <v>3.8464512681298233</v>
      </c>
      <c r="J64" s="26">
        <f t="shared" si="20"/>
        <v>28.343700703703959</v>
      </c>
      <c r="K64" s="61"/>
      <c r="L64" s="20" t="s">
        <v>8</v>
      </c>
      <c r="M64" s="96">
        <f t="shared" si="18"/>
        <v>0</v>
      </c>
      <c r="N64" s="95">
        <f t="shared" si="18"/>
        <v>-0.18998565866046269</v>
      </c>
      <c r="O64" s="95">
        <f t="shared" si="18"/>
        <v>-1.4458385278355088</v>
      </c>
      <c r="P64" s="95">
        <f t="shared" si="18"/>
        <v>-1.3576316264388715</v>
      </c>
      <c r="Q64" s="95">
        <f t="shared" si="18"/>
        <v>3.168085346088656E-2</v>
      </c>
      <c r="R64" s="95">
        <f t="shared" si="18"/>
        <v>1.3004993385603569E-2</v>
      </c>
      <c r="S64" s="95">
        <f t="shared" si="18"/>
        <v>9.8325963115214243E-2</v>
      </c>
      <c r="T64" s="97">
        <f t="shared" si="18"/>
        <v>8.0616773911551753E-2</v>
      </c>
      <c r="U64" s="26">
        <f t="shared" si="18"/>
        <v>-2.7698272290615833</v>
      </c>
      <c r="W64" s="20" t="s">
        <v>8</v>
      </c>
      <c r="X64" s="98">
        <f t="shared" si="21"/>
        <v>0</v>
      </c>
      <c r="Y64" s="99">
        <f t="shared" si="19"/>
        <v>-9.6538131680176525E-2</v>
      </c>
      <c r="Z64" s="99">
        <f t="shared" si="19"/>
        <v>-0.42854320720559907</v>
      </c>
      <c r="AA64" s="99">
        <f t="shared" si="19"/>
        <v>-0.32404412615992506</v>
      </c>
      <c r="AB64" s="99">
        <f t="shared" si="19"/>
        <v>7.720788710010678E-3</v>
      </c>
      <c r="AC64" s="99">
        <f t="shared" si="19"/>
        <v>3.2384206044582223E-3</v>
      </c>
      <c r="AD64" s="99">
        <f t="shared" si="19"/>
        <v>2.5017830798901755E-2</v>
      </c>
      <c r="AE64" s="100">
        <f t="shared" si="19"/>
        <v>2.0958740483601215E-2</v>
      </c>
      <c r="AF64" s="101">
        <f t="shared" si="19"/>
        <v>-9.7722850590911792E-2</v>
      </c>
    </row>
    <row r="65" spans="1:32">
      <c r="A65" s="20" t="s">
        <v>9</v>
      </c>
      <c r="B65" s="95">
        <v>2.0803070736546396</v>
      </c>
      <c r="C65" s="95">
        <v>1.3775899610623239</v>
      </c>
      <c r="D65" s="95">
        <v>1.8850691752258817</v>
      </c>
      <c r="E65" s="95">
        <v>1.8818718201915763</v>
      </c>
      <c r="F65" s="95">
        <v>1.8795907634398283</v>
      </c>
      <c r="G65" s="95">
        <v>1.8759481456812241</v>
      </c>
      <c r="H65" s="95">
        <v>1.8723125872593618</v>
      </c>
      <c r="I65" s="95">
        <v>1.8686840744933551</v>
      </c>
      <c r="J65" s="26">
        <f t="shared" si="20"/>
        <v>14.721373601008192</v>
      </c>
      <c r="K65" s="61"/>
      <c r="L65" s="20" t="s">
        <v>9</v>
      </c>
      <c r="M65" s="96">
        <f t="shared" si="18"/>
        <v>0</v>
      </c>
      <c r="N65" s="95">
        <f t="shared" si="18"/>
        <v>-5.89961062323896E-4</v>
      </c>
      <c r="O65" s="95">
        <f t="shared" si="18"/>
        <v>0.24588578746525713</v>
      </c>
      <c r="P65" s="95">
        <f t="shared" si="18"/>
        <v>0.44442937519809878</v>
      </c>
      <c r="Q65" s="95">
        <f t="shared" si="18"/>
        <v>-0.1202291700473519</v>
      </c>
      <c r="R65" s="95">
        <f t="shared" si="18"/>
        <v>-0.1177974135777069</v>
      </c>
      <c r="S65" s="95">
        <f t="shared" si="18"/>
        <v>-0.11428758670764316</v>
      </c>
      <c r="T65" s="97">
        <f t="shared" si="18"/>
        <v>-0.10985148153195334</v>
      </c>
      <c r="U65" s="26">
        <f t="shared" si="18"/>
        <v>0.22755954973637671</v>
      </c>
      <c r="W65" s="20" t="s">
        <v>9</v>
      </c>
      <c r="X65" s="98">
        <f t="shared" si="21"/>
        <v>0</v>
      </c>
      <c r="Y65" s="99">
        <f t="shared" si="19"/>
        <v>-4.2825592447621314E-4</v>
      </c>
      <c r="Z65" s="99">
        <f t="shared" si="19"/>
        <v>0.13043860177480937</v>
      </c>
      <c r="AA65" s="99">
        <f t="shared" si="19"/>
        <v>0.23616346789913431</v>
      </c>
      <c r="AB65" s="99">
        <f t="shared" si="19"/>
        <v>-6.3965610166822257E-2</v>
      </c>
      <c r="AC65" s="99">
        <f t="shared" si="19"/>
        <v>-6.2793533951830224E-2</v>
      </c>
      <c r="AD65" s="99">
        <f t="shared" si="19"/>
        <v>-6.1040868648399201E-2</v>
      </c>
      <c r="AE65" s="100">
        <f t="shared" si="19"/>
        <v>-5.8785475314620375E-2</v>
      </c>
      <c r="AF65" s="101">
        <f t="shared" si="19"/>
        <v>1.5457766096011061E-2</v>
      </c>
    </row>
    <row r="66" spans="1:32">
      <c r="A66" s="20" t="s">
        <v>10</v>
      </c>
      <c r="B66" s="95">
        <v>20.337135895750922</v>
      </c>
      <c r="C66" s="95">
        <v>23.123831489260436</v>
      </c>
      <c r="D66" s="95">
        <v>25.551793753061787</v>
      </c>
      <c r="E66" s="95">
        <v>22.34480252266782</v>
      </c>
      <c r="F66" s="95">
        <v>18.959226382869662</v>
      </c>
      <c r="G66" s="95">
        <v>17.496517518336709</v>
      </c>
      <c r="H66" s="95">
        <v>18.649388827684483</v>
      </c>
      <c r="I66" s="95">
        <v>18.613246601274238</v>
      </c>
      <c r="J66" s="26">
        <f t="shared" si="20"/>
        <v>165.07594299090604</v>
      </c>
      <c r="K66" s="61"/>
      <c r="L66" s="20" t="s">
        <v>10</v>
      </c>
      <c r="M66" s="96">
        <f t="shared" si="18"/>
        <v>0</v>
      </c>
      <c r="N66" s="95">
        <f t="shared" si="18"/>
        <v>0.49516851073956758</v>
      </c>
      <c r="O66" s="95">
        <f t="shared" si="18"/>
        <v>2.9618205847888497</v>
      </c>
      <c r="P66" s="95">
        <f t="shared" si="18"/>
        <v>1.5912775752178909</v>
      </c>
      <c r="Q66" s="95">
        <f t="shared" si="18"/>
        <v>-0.36656582598521936</v>
      </c>
      <c r="R66" s="95">
        <f t="shared" si="18"/>
        <v>-0.85043988785426805</v>
      </c>
      <c r="S66" s="95">
        <f t="shared" si="18"/>
        <v>-0.87500118620629763</v>
      </c>
      <c r="T66" s="97">
        <f t="shared" si="18"/>
        <v>-1.3381436506105189</v>
      </c>
      <c r="U66" s="26">
        <f t="shared" si="18"/>
        <v>1.6181161200900362</v>
      </c>
      <c r="W66" s="20" t="s">
        <v>10</v>
      </c>
      <c r="X66" s="98">
        <f t="shared" si="21"/>
        <v>0</v>
      </c>
      <c r="Y66" s="99">
        <f t="shared" si="19"/>
        <v>2.1413774398483323E-2</v>
      </c>
      <c r="Z66" s="99">
        <f t="shared" si="19"/>
        <v>0.11591438994117367</v>
      </c>
      <c r="AA66" s="99">
        <f t="shared" si="19"/>
        <v>7.121466272094415E-2</v>
      </c>
      <c r="AB66" s="99">
        <f t="shared" si="19"/>
        <v>-1.9334429505859198E-2</v>
      </c>
      <c r="AC66" s="99">
        <f t="shared" si="19"/>
        <v>-4.8606237610598201E-2</v>
      </c>
      <c r="AD66" s="99">
        <f t="shared" si="19"/>
        <v>-4.6918491232666212E-2</v>
      </c>
      <c r="AE66" s="100">
        <f t="shared" si="19"/>
        <v>-7.1892006766778205E-2</v>
      </c>
      <c r="AF66" s="101">
        <f t="shared" si="19"/>
        <v>9.8022527739198041E-3</v>
      </c>
    </row>
    <row r="67" spans="1:32">
      <c r="A67" s="27" t="s">
        <v>11</v>
      </c>
      <c r="B67" s="102">
        <v>5.4191373526433875</v>
      </c>
      <c r="C67" s="102">
        <v>5.99743629476776</v>
      </c>
      <c r="D67" s="102">
        <v>7.1083937508517749</v>
      </c>
      <c r="E67" s="102">
        <v>6.9827507883336928</v>
      </c>
      <c r="F67" s="102">
        <v>5.8683319756501326</v>
      </c>
      <c r="G67" s="102">
        <v>5.8569592392632144</v>
      </c>
      <c r="H67" s="102">
        <v>5.8456085430630917</v>
      </c>
      <c r="I67" s="102">
        <v>5.8342798443362254</v>
      </c>
      <c r="J67" s="29">
        <f t="shared" si="20"/>
        <v>48.912897788909277</v>
      </c>
      <c r="K67" s="61"/>
      <c r="L67" s="27" t="s">
        <v>11</v>
      </c>
      <c r="M67" s="103">
        <f t="shared" si="18"/>
        <v>0</v>
      </c>
      <c r="N67" s="102">
        <f t="shared" si="18"/>
        <v>-1.1184362947677595</v>
      </c>
      <c r="O67" s="102">
        <f t="shared" si="18"/>
        <v>-0.17839375085177522</v>
      </c>
      <c r="P67" s="102">
        <f t="shared" si="18"/>
        <v>-8.2750788333692427E-2</v>
      </c>
      <c r="Q67" s="102">
        <f t="shared" si="18"/>
        <v>4.5334061646746804E-2</v>
      </c>
      <c r="R67" s="102">
        <f t="shared" si="18"/>
        <v>-4.5252961230073829E-2</v>
      </c>
      <c r="S67" s="102">
        <f t="shared" si="18"/>
        <v>-3.3902265029951195E-2</v>
      </c>
      <c r="T67" s="104">
        <f t="shared" si="18"/>
        <v>-2.2573566303084824E-2</v>
      </c>
      <c r="U67" s="29">
        <f t="shared" si="18"/>
        <v>-1.4359755648695867</v>
      </c>
      <c r="W67" s="27" t="s">
        <v>11</v>
      </c>
      <c r="X67" s="105">
        <f t="shared" si="21"/>
        <v>0</v>
      </c>
      <c r="Y67" s="106">
        <f t="shared" si="19"/>
        <v>-0.18648573153557257</v>
      </c>
      <c r="Z67" s="106">
        <f t="shared" si="19"/>
        <v>-2.5096211198261057E-2</v>
      </c>
      <c r="AA67" s="106">
        <f t="shared" si="19"/>
        <v>-1.1850743473753473E-2</v>
      </c>
      <c r="AB67" s="106">
        <f t="shared" si="19"/>
        <v>7.7252039991695248E-3</v>
      </c>
      <c r="AC67" s="106">
        <f t="shared" si="19"/>
        <v>-7.7263575485914593E-3</v>
      </c>
      <c r="AD67" s="106">
        <f t="shared" si="19"/>
        <v>-5.7996126117925871E-3</v>
      </c>
      <c r="AE67" s="107">
        <f t="shared" si="19"/>
        <v>-3.869126422689286E-3</v>
      </c>
      <c r="AF67" s="108">
        <f t="shared" si="19"/>
        <v>-2.9357810102904718E-2</v>
      </c>
    </row>
    <row r="68" spans="1:32">
      <c r="A68" s="27" t="s">
        <v>12</v>
      </c>
      <c r="B68" s="109">
        <v>3.9845873920269317</v>
      </c>
      <c r="C68" s="109">
        <v>3.5423741855888329</v>
      </c>
      <c r="D68" s="109">
        <v>4.2554303130099136</v>
      </c>
      <c r="E68" s="109">
        <v>1.862066876888985</v>
      </c>
      <c r="F68" s="109">
        <v>9.0282030394617435E-2</v>
      </c>
      <c r="G68" s="109">
        <v>8.748258759168355E-2</v>
      </c>
      <c r="H68" s="109">
        <v>3.8146477147536437</v>
      </c>
      <c r="I68" s="109">
        <v>3.2856569463855672</v>
      </c>
      <c r="J68" s="29">
        <f t="shared" si="20"/>
        <v>20.922528046640178</v>
      </c>
      <c r="K68" s="61"/>
      <c r="L68" s="27" t="s">
        <v>12</v>
      </c>
      <c r="M68" s="103">
        <f t="shared" si="18"/>
        <v>0</v>
      </c>
      <c r="N68" s="109">
        <f t="shared" si="18"/>
        <v>0.92362581441116731</v>
      </c>
      <c r="O68" s="109">
        <f t="shared" si="18"/>
        <v>-0.4054303130099135</v>
      </c>
      <c r="P68" s="109">
        <f t="shared" si="18"/>
        <v>-6.2066876888984934E-2</v>
      </c>
      <c r="Q68" s="109">
        <f t="shared" si="18"/>
        <v>1.167772886912187E-2</v>
      </c>
      <c r="R68" s="109">
        <f t="shared" si="18"/>
        <v>1.4477171672055755E-2</v>
      </c>
      <c r="S68" s="109">
        <f t="shared" si="18"/>
        <v>-4.2136621995289225E-2</v>
      </c>
      <c r="T68" s="110">
        <f t="shared" si="18"/>
        <v>-2.294464994590939E-2</v>
      </c>
      <c r="U68" s="29">
        <f t="shared" si="18"/>
        <v>0.41720225311224723</v>
      </c>
      <c r="W68" s="27" t="s">
        <v>12</v>
      </c>
      <c r="X68" s="105">
        <f t="shared" si="21"/>
        <v>0</v>
      </c>
      <c r="Y68" s="111">
        <f t="shared" si="19"/>
        <v>0.26073637792661286</v>
      </c>
      <c r="Z68" s="111">
        <f t="shared" si="19"/>
        <v>-9.5273634671072333E-2</v>
      </c>
      <c r="AA68" s="111">
        <f t="shared" si="19"/>
        <v>-3.3332249050411156E-2</v>
      </c>
      <c r="AB68" s="111">
        <f t="shared" si="19"/>
        <v>0.12934721137837957</v>
      </c>
      <c r="AC68" s="111">
        <f t="shared" si="19"/>
        <v>0.16548632214248787</v>
      </c>
      <c r="AD68" s="111">
        <f t="shared" si="19"/>
        <v>-1.1046006118027724E-2</v>
      </c>
      <c r="AE68" s="112">
        <f t="shared" si="19"/>
        <v>-6.983276197215285E-3</v>
      </c>
      <c r="AF68" s="108">
        <f t="shared" si="19"/>
        <v>1.9940336664012417E-2</v>
      </c>
    </row>
    <row r="69" spans="1:32">
      <c r="A69" s="31" t="s">
        <v>13</v>
      </c>
      <c r="B69" s="41">
        <f t="shared" ref="B69:I69" si="22">SUM(B62:B66)</f>
        <v>41.04194067170895</v>
      </c>
      <c r="C69" s="41">
        <f t="shared" si="22"/>
        <v>43.886080188128318</v>
      </c>
      <c r="D69" s="41">
        <f t="shared" si="22"/>
        <v>50.694998954512116</v>
      </c>
      <c r="E69" s="41">
        <f t="shared" si="22"/>
        <v>50.528368978916312</v>
      </c>
      <c r="F69" s="41">
        <f t="shared" si="22"/>
        <v>44.740081872980511</v>
      </c>
      <c r="G69" s="41">
        <f t="shared" si="22"/>
        <v>45.949632033077599</v>
      </c>
      <c r="H69" s="41">
        <f t="shared" si="22"/>
        <v>46.736642484972336</v>
      </c>
      <c r="I69" s="41">
        <f t="shared" si="22"/>
        <v>46.809910502503861</v>
      </c>
      <c r="J69" s="32">
        <f>SUM(B69:I69)</f>
        <v>370.38765568679997</v>
      </c>
      <c r="K69" s="61"/>
      <c r="L69" s="31" t="s">
        <v>13</v>
      </c>
      <c r="M69" s="113">
        <f t="shared" si="18"/>
        <v>0</v>
      </c>
      <c r="N69" s="41">
        <f t="shared" si="18"/>
        <v>4.6939198118716803</v>
      </c>
      <c r="O69" s="33">
        <f t="shared" si="18"/>
        <v>6.2314716981513953</v>
      </c>
      <c r="P69" s="33">
        <f t="shared" si="18"/>
        <v>1.0236096775662347</v>
      </c>
      <c r="Q69" s="33">
        <f t="shared" si="18"/>
        <v>-1.7747508444968503</v>
      </c>
      <c r="R69" s="33">
        <f t="shared" si="18"/>
        <v>-2.7568643749015891</v>
      </c>
      <c r="S69" s="33">
        <f t="shared" si="18"/>
        <v>-2.9301565119501518</v>
      </c>
      <c r="T69" s="33">
        <f t="shared" si="18"/>
        <v>-4.3073440480091563</v>
      </c>
      <c r="U69" s="32">
        <f t="shared" si="18"/>
        <v>0.17988540823159838</v>
      </c>
      <c r="W69" s="31" t="s">
        <v>13</v>
      </c>
      <c r="X69" s="114">
        <f t="shared" si="21"/>
        <v>0</v>
      </c>
      <c r="Y69" s="115">
        <f t="shared" si="19"/>
        <v>0.10695691644708426</v>
      </c>
      <c r="Z69" s="116">
        <f t="shared" si="19"/>
        <v>0.12292083690035785</v>
      </c>
      <c r="AA69" s="116">
        <f t="shared" si="19"/>
        <v>2.0258118325437151E-2</v>
      </c>
      <c r="AB69" s="116">
        <f t="shared" si="19"/>
        <v>-3.9668028537262472E-2</v>
      </c>
      <c r="AC69" s="116">
        <f t="shared" si="19"/>
        <v>-5.999752887938286E-2</v>
      </c>
      <c r="AD69" s="116">
        <f t="shared" si="19"/>
        <v>-6.2695058013470098E-2</v>
      </c>
      <c r="AE69" s="116">
        <f t="shared" si="19"/>
        <v>-9.201778003354133E-2</v>
      </c>
      <c r="AF69" s="114">
        <f t="shared" si="19"/>
        <v>4.8566793593064447E-4</v>
      </c>
    </row>
    <row r="70" spans="1:32">
      <c r="A70" s="20" t="s">
        <v>14</v>
      </c>
      <c r="B70" s="88">
        <v>65.694584438711317</v>
      </c>
      <c r="C70" s="88">
        <v>61.763351907882857</v>
      </c>
      <c r="D70" s="88">
        <v>59.311953116712061</v>
      </c>
      <c r="E70" s="88">
        <v>57.637098799517261</v>
      </c>
      <c r="F70" s="88">
        <v>57.567235649457224</v>
      </c>
      <c r="G70" s="88">
        <v>57.455671239283845</v>
      </c>
      <c r="H70" s="88">
        <v>54.970710247367528</v>
      </c>
      <c r="I70" s="88">
        <v>54.600211324323418</v>
      </c>
      <c r="J70" s="34">
        <f>SUM(B70:I70)</f>
        <v>469.00081672325558</v>
      </c>
      <c r="K70" s="61"/>
      <c r="L70" s="20" t="s">
        <v>14</v>
      </c>
      <c r="M70" s="89">
        <f t="shared" si="18"/>
        <v>0</v>
      </c>
      <c r="N70" s="88">
        <f t="shared" si="18"/>
        <v>9.8906480921171536</v>
      </c>
      <c r="O70" s="88">
        <f t="shared" si="18"/>
        <v>4.1128216863358418</v>
      </c>
      <c r="P70" s="88">
        <f t="shared" si="18"/>
        <v>1.9725491110869058</v>
      </c>
      <c r="Q70" s="88">
        <f t="shared" si="18"/>
        <v>0.45313710178059807</v>
      </c>
      <c r="R70" s="88">
        <f t="shared" si="18"/>
        <v>-8.7081018427284107E-3</v>
      </c>
      <c r="S70" s="88">
        <f t="shared" si="18"/>
        <v>-0.87066585410618558</v>
      </c>
      <c r="T70" s="88">
        <f t="shared" si="18"/>
        <v>-0.50016693106207555</v>
      </c>
      <c r="U70" s="34">
        <f t="shared" si="18"/>
        <v>15.049615104309396</v>
      </c>
      <c r="W70" s="20" t="s">
        <v>14</v>
      </c>
      <c r="X70" s="91">
        <f t="shared" si="21"/>
        <v>0</v>
      </c>
      <c r="Y70" s="92">
        <f t="shared" si="19"/>
        <v>0.16013781290349319</v>
      </c>
      <c r="Z70" s="92">
        <f t="shared" si="19"/>
        <v>6.9342206253818178E-2</v>
      </c>
      <c r="AA70" s="92">
        <f t="shared" si="19"/>
        <v>3.4223601676207666E-2</v>
      </c>
      <c r="AB70" s="92">
        <f t="shared" si="19"/>
        <v>7.871441049208526E-3</v>
      </c>
      <c r="AC70" s="92">
        <f t="shared" si="19"/>
        <v>-1.5156209395695772E-4</v>
      </c>
      <c r="AD70" s="92">
        <f t="shared" si="19"/>
        <v>-1.5838723025192868E-2</v>
      </c>
      <c r="AE70" s="92">
        <f t="shared" si="19"/>
        <v>-9.1605310479679434E-3</v>
      </c>
      <c r="AF70" s="117">
        <f t="shared" si="19"/>
        <v>3.2088675686016463E-2</v>
      </c>
    </row>
    <row r="71" spans="1:32">
      <c r="A71" s="20" t="s">
        <v>15</v>
      </c>
      <c r="B71" s="95">
        <v>24.242394904228135</v>
      </c>
      <c r="C71" s="95">
        <v>22.761632131584012</v>
      </c>
      <c r="D71" s="95">
        <v>21.858218768014307</v>
      </c>
      <c r="E71" s="95">
        <v>21.240985138938584</v>
      </c>
      <c r="F71" s="95">
        <v>21.21523849028533</v>
      </c>
      <c r="G71" s="95">
        <v>21.174123687009576</v>
      </c>
      <c r="H71" s="95">
        <v>20.258341654264736</v>
      </c>
      <c r="I71" s="95">
        <v>20.121801781816501</v>
      </c>
      <c r="J71" s="35">
        <f>SUM(B71:I71)</f>
        <v>172.87273655614121</v>
      </c>
      <c r="K71" s="61"/>
      <c r="L71" s="20" t="s">
        <v>15</v>
      </c>
      <c r="M71" s="96">
        <f t="shared" si="18"/>
        <v>0</v>
      </c>
      <c r="N71" s="95">
        <f t="shared" si="18"/>
        <v>-1.4632131584008334E-2</v>
      </c>
      <c r="O71" s="95">
        <f t="shared" si="18"/>
        <v>3.5048062941292848</v>
      </c>
      <c r="P71" s="95">
        <f t="shared" si="18"/>
        <v>3.0427792080147746</v>
      </c>
      <c r="Q71" s="95">
        <f t="shared" si="18"/>
        <v>2.5898063243417795</v>
      </c>
      <c r="R71" s="95">
        <f t="shared" si="18"/>
        <v>2.3961646674034185</v>
      </c>
      <c r="S71" s="95">
        <f t="shared" si="18"/>
        <v>2.2385000655837679</v>
      </c>
      <c r="T71" s="95">
        <f t="shared" si="18"/>
        <v>2.3750399380320033</v>
      </c>
      <c r="U71" s="35">
        <f t="shared" si="18"/>
        <v>16.13246436592101</v>
      </c>
      <c r="W71" s="20" t="s">
        <v>15</v>
      </c>
      <c r="X71" s="98">
        <f t="shared" si="21"/>
        <v>0</v>
      </c>
      <c r="Y71" s="99">
        <f t="shared" si="19"/>
        <v>-6.4284193239837173E-4</v>
      </c>
      <c r="Z71" s="99">
        <f t="shared" si="19"/>
        <v>0.16034272194484384</v>
      </c>
      <c r="AA71" s="99">
        <f t="shared" si="19"/>
        <v>0.14325038071971566</v>
      </c>
      <c r="AB71" s="99">
        <f t="shared" si="19"/>
        <v>0.12207293005580294</v>
      </c>
      <c r="AC71" s="99">
        <f t="shared" si="19"/>
        <v>0.11316476199076313</v>
      </c>
      <c r="AD71" s="99">
        <f t="shared" si="19"/>
        <v>0.11049769540798145</v>
      </c>
      <c r="AE71" s="99">
        <f t="shared" si="19"/>
        <v>0.11803316441464298</v>
      </c>
      <c r="AF71" s="118">
        <f t="shared" si="19"/>
        <v>9.3319887723776029E-2</v>
      </c>
    </row>
    <row r="72" spans="1:32">
      <c r="A72" s="20" t="s">
        <v>51</v>
      </c>
      <c r="B72" s="119">
        <v>9.4205036441344828E-2</v>
      </c>
      <c r="C72" s="119">
        <v>0.78719426346418497</v>
      </c>
      <c r="D72" s="119">
        <v>0.96059375011510473</v>
      </c>
      <c r="E72" s="119">
        <v>0.95896444159782712</v>
      </c>
      <c r="F72" s="119">
        <v>0.9578020604564963</v>
      </c>
      <c r="G72" s="119">
        <v>0.9559458549129759</v>
      </c>
      <c r="H72" s="119">
        <v>0.95409324666702067</v>
      </c>
      <c r="I72" s="119">
        <v>0.95224422874712333</v>
      </c>
      <c r="J72" s="37">
        <f>SUM(B72:I72)</f>
        <v>6.6210428824020777</v>
      </c>
      <c r="K72" s="61"/>
      <c r="L72" s="20" t="s">
        <v>51</v>
      </c>
      <c r="M72" s="120">
        <f t="shared" si="18"/>
        <v>0</v>
      </c>
      <c r="N72" s="119">
        <f t="shared" si="18"/>
        <v>-0.75519426346418495</v>
      </c>
      <c r="O72" s="119">
        <f t="shared" si="18"/>
        <v>-0.75757122283350553</v>
      </c>
      <c r="P72" s="119">
        <f t="shared" si="18"/>
        <v>-0.75664635700704985</v>
      </c>
      <c r="Q72" s="119">
        <f t="shared" si="18"/>
        <v>-0.75542484191817394</v>
      </c>
      <c r="R72" s="119">
        <f t="shared" si="18"/>
        <v>-0.75354469887830589</v>
      </c>
      <c r="S72" s="119">
        <f t="shared" si="18"/>
        <v>-0.75155213511844887</v>
      </c>
      <c r="T72" s="119">
        <f t="shared" si="18"/>
        <v>-0.74970311719855154</v>
      </c>
      <c r="U72" s="37">
        <f t="shared" si="18"/>
        <v>-5.2796366364182203</v>
      </c>
      <c r="W72" s="20" t="s">
        <v>51</v>
      </c>
      <c r="X72" s="121">
        <f t="shared" si="21"/>
        <v>0</v>
      </c>
      <c r="Y72" s="122">
        <f t="shared" si="19"/>
        <v>-0.95934929726344997</v>
      </c>
      <c r="Z72" s="122">
        <f t="shared" si="19"/>
        <v>-0.78864891921556679</v>
      </c>
      <c r="AA72" s="122">
        <f t="shared" si="19"/>
        <v>-0.7890244144468227</v>
      </c>
      <c r="AB72" s="122">
        <f t="shared" si="19"/>
        <v>-0.78870663689962439</v>
      </c>
      <c r="AC72" s="122">
        <f t="shared" si="19"/>
        <v>-0.78827131788432148</v>
      </c>
      <c r="AD72" s="122">
        <f t="shared" si="19"/>
        <v>-0.78771350467460255</v>
      </c>
      <c r="AE72" s="122">
        <f t="shared" si="19"/>
        <v>-0.78730129788756287</v>
      </c>
      <c r="AF72" s="123">
        <f t="shared" si="19"/>
        <v>-0.79740257391337077</v>
      </c>
    </row>
    <row r="73" spans="1:32">
      <c r="A73" s="31" t="s">
        <v>17</v>
      </c>
      <c r="B73" s="33">
        <f>SUM(B70:B72)</f>
        <v>90.031184379380804</v>
      </c>
      <c r="C73" s="33">
        <f t="shared" ref="C73:I73" si="23">SUM(C70:C72)</f>
        <v>85.312178302931059</v>
      </c>
      <c r="D73" s="33">
        <f t="shared" si="23"/>
        <v>82.130765634841481</v>
      </c>
      <c r="E73" s="33">
        <f t="shared" si="23"/>
        <v>79.837048380053673</v>
      </c>
      <c r="F73" s="33">
        <f t="shared" si="23"/>
        <v>79.740276200199062</v>
      </c>
      <c r="G73" s="33">
        <f t="shared" si="23"/>
        <v>79.585740781206397</v>
      </c>
      <c r="H73" s="33">
        <f t="shared" si="23"/>
        <v>76.183145148299275</v>
      </c>
      <c r="I73" s="33">
        <f t="shared" si="23"/>
        <v>75.674257334887031</v>
      </c>
      <c r="J73" s="33">
        <f t="shared" ref="J73" si="24">SUM(J70:J72)+(0.5*J86)</f>
        <v>648.49459616179888</v>
      </c>
      <c r="K73" s="61"/>
      <c r="L73" s="31" t="s">
        <v>17</v>
      </c>
      <c r="M73" s="113">
        <f t="shared" si="18"/>
        <v>0</v>
      </c>
      <c r="N73" s="33">
        <f t="shared" si="18"/>
        <v>9.1208216970689477</v>
      </c>
      <c r="O73" s="32">
        <f t="shared" si="18"/>
        <v>6.8600567576316109</v>
      </c>
      <c r="P73" s="38">
        <f t="shared" si="18"/>
        <v>4.2586819620946272</v>
      </c>
      <c r="Q73" s="32">
        <f t="shared" si="18"/>
        <v>2.287518584204193</v>
      </c>
      <c r="R73" s="32">
        <f t="shared" si="18"/>
        <v>1.6339118666823822</v>
      </c>
      <c r="S73" s="32">
        <f t="shared" si="18"/>
        <v>0.61628207635914123</v>
      </c>
      <c r="T73" s="32">
        <f t="shared" si="18"/>
        <v>1.1251698897713851</v>
      </c>
      <c r="U73" s="33">
        <f t="shared" si="18"/>
        <v>25.902442833812188</v>
      </c>
      <c r="W73" s="31" t="s">
        <v>17</v>
      </c>
      <c r="X73" s="114">
        <f t="shared" si="21"/>
        <v>0</v>
      </c>
      <c r="Y73" s="116">
        <f t="shared" si="19"/>
        <v>0.10691113365646632</v>
      </c>
      <c r="Z73" s="114">
        <f t="shared" si="19"/>
        <v>8.3526029553064832E-2</v>
      </c>
      <c r="AA73" s="124">
        <f t="shared" si="19"/>
        <v>5.3342176953007289E-2</v>
      </c>
      <c r="AB73" s="114">
        <f t="shared" si="19"/>
        <v>2.8687116388474241E-2</v>
      </c>
      <c r="AC73" s="114">
        <f t="shared" si="19"/>
        <v>2.0530208686179857E-2</v>
      </c>
      <c r="AD73" s="114">
        <f t="shared" si="19"/>
        <v>8.0894806214613108E-3</v>
      </c>
      <c r="AE73" s="114">
        <f t="shared" si="19"/>
        <v>1.4868595073118267E-2</v>
      </c>
      <c r="AF73" s="116">
        <f t="shared" si="19"/>
        <v>3.9942418930117886E-2</v>
      </c>
    </row>
    <row r="74" spans="1:32">
      <c r="A74" s="40" t="s">
        <v>18</v>
      </c>
      <c r="B74" s="88">
        <v>13.627507663303071</v>
      </c>
      <c r="C74" s="88">
        <v>16.199710199808049</v>
      </c>
      <c r="D74" s="88">
        <v>16.245870565857512</v>
      </c>
      <c r="E74" s="88">
        <v>16.872003385599221</v>
      </c>
      <c r="F74" s="88">
        <v>16.790861884278854</v>
      </c>
      <c r="G74" s="88">
        <v>16.699512744846441</v>
      </c>
      <c r="H74" s="88">
        <v>17.203553809020832</v>
      </c>
      <c r="I74" s="88">
        <v>17.672735653994831</v>
      </c>
      <c r="J74" s="42">
        <f t="shared" ref="J74:J80" si="25">SUM(B74:I74)</f>
        <v>131.31175590670881</v>
      </c>
      <c r="K74" s="61"/>
      <c r="L74" s="40" t="s">
        <v>18</v>
      </c>
      <c r="M74" s="125">
        <f t="shared" si="18"/>
        <v>0</v>
      </c>
      <c r="N74" s="88">
        <f t="shared" si="18"/>
        <v>-0.34871019980804618</v>
      </c>
      <c r="O74" s="88">
        <f t="shared" si="18"/>
        <v>-0.34020404727506204</v>
      </c>
      <c r="P74" s="88">
        <f t="shared" si="18"/>
        <v>-0.36633686701676993</v>
      </c>
      <c r="Q74" s="88">
        <f t="shared" si="18"/>
        <v>-0.48519536569640209</v>
      </c>
      <c r="R74" s="88">
        <f t="shared" si="18"/>
        <v>-0.59384622626398809</v>
      </c>
      <c r="S74" s="88">
        <f t="shared" si="18"/>
        <v>-0.69788729043837705</v>
      </c>
      <c r="T74" s="88">
        <f t="shared" si="18"/>
        <v>-0.76706913541237398</v>
      </c>
      <c r="U74" s="42">
        <f t="shared" si="18"/>
        <v>-3.5992491319110229</v>
      </c>
      <c r="W74" s="40" t="s">
        <v>18</v>
      </c>
      <c r="X74" s="115">
        <f t="shared" si="21"/>
        <v>0</v>
      </c>
      <c r="Y74" s="92">
        <f t="shared" si="19"/>
        <v>-2.1525706047024105E-2</v>
      </c>
      <c r="Z74" s="92">
        <f t="shared" si="19"/>
        <v>-2.0940955173558894E-2</v>
      </c>
      <c r="AA74" s="92">
        <f t="shared" si="19"/>
        <v>-2.1712707059402904E-2</v>
      </c>
      <c r="AB74" s="92">
        <f t="shared" si="19"/>
        <v>-2.8896394303063531E-2</v>
      </c>
      <c r="AC74" s="92">
        <f t="shared" si="19"/>
        <v>-3.5560691820020453E-2</v>
      </c>
      <c r="AD74" s="92">
        <f t="shared" si="19"/>
        <v>-4.0566460754895527E-2</v>
      </c>
      <c r="AE74" s="92">
        <f t="shared" si="19"/>
        <v>-4.3404097160191606E-2</v>
      </c>
      <c r="AF74" s="126">
        <f t="shared" si="19"/>
        <v>-2.7409953564767879E-2</v>
      </c>
    </row>
    <row r="75" spans="1:32">
      <c r="A75" s="40" t="s">
        <v>19</v>
      </c>
      <c r="B75" s="95">
        <v>10.003558347666473</v>
      </c>
      <c r="C75" s="95">
        <v>8.98786590360349</v>
      </c>
      <c r="D75" s="95">
        <v>8.9160263925469607</v>
      </c>
      <c r="E75" s="95">
        <v>8.8290256845815662</v>
      </c>
      <c r="F75" s="95">
        <v>8.7636598079725943</v>
      </c>
      <c r="G75" s="95">
        <v>8.7079504667048475</v>
      </c>
      <c r="H75" s="95">
        <v>8.6652994251327833</v>
      </c>
      <c r="I75" s="95">
        <v>8.620680967157055</v>
      </c>
      <c r="J75" s="42">
        <f t="shared" si="25"/>
        <v>71.49406699536577</v>
      </c>
      <c r="K75" s="61"/>
      <c r="L75" s="40" t="s">
        <v>19</v>
      </c>
      <c r="M75" s="96">
        <f t="shared" si="18"/>
        <v>0</v>
      </c>
      <c r="N75" s="95">
        <f t="shared" si="18"/>
        <v>1.2201340963965102</v>
      </c>
      <c r="O75" s="95">
        <f t="shared" si="18"/>
        <v>2.0839736074530393</v>
      </c>
      <c r="P75" s="95">
        <f t="shared" si="18"/>
        <v>1.9709743154184345</v>
      </c>
      <c r="Q75" s="95">
        <f t="shared" si="18"/>
        <v>1.8363401920274054</v>
      </c>
      <c r="R75" s="95">
        <f t="shared" si="18"/>
        <v>1.6920495332951528</v>
      </c>
      <c r="S75" s="95">
        <f t="shared" si="18"/>
        <v>1.534700574867216</v>
      </c>
      <c r="T75" s="95">
        <f t="shared" si="18"/>
        <v>1.379319032842945</v>
      </c>
      <c r="U75" s="42">
        <f t="shared" si="18"/>
        <v>11.717491352300712</v>
      </c>
      <c r="W75" s="40" t="s">
        <v>19</v>
      </c>
      <c r="X75" s="98">
        <f t="shared" si="21"/>
        <v>0</v>
      </c>
      <c r="Y75" s="99">
        <f t="shared" si="19"/>
        <v>0.13575348247099725</v>
      </c>
      <c r="Z75" s="99">
        <f t="shared" si="19"/>
        <v>0.2337334498241351</v>
      </c>
      <c r="AA75" s="99">
        <f t="shared" si="19"/>
        <v>0.22323803167323608</v>
      </c>
      <c r="AB75" s="99">
        <f t="shared" si="19"/>
        <v>0.20954033272227493</v>
      </c>
      <c r="AC75" s="99">
        <f t="shared" si="19"/>
        <v>0.19431088173557753</v>
      </c>
      <c r="AD75" s="99">
        <f t="shared" si="19"/>
        <v>0.17710877600097458</v>
      </c>
      <c r="AE75" s="99">
        <f t="shared" si="19"/>
        <v>0.16000116906052486</v>
      </c>
      <c r="AF75" s="126">
        <f t="shared" si="19"/>
        <v>0.16389459775816415</v>
      </c>
    </row>
    <row r="76" spans="1:32">
      <c r="A76" s="40" t="s">
        <v>20</v>
      </c>
      <c r="B76" s="95">
        <v>16.677987088581556</v>
      </c>
      <c r="C76" s="95">
        <v>17.35378064172966</v>
      </c>
      <c r="D76" s="95">
        <v>16.962864902162544</v>
      </c>
      <c r="E76" s="95">
        <v>16.519069957751757</v>
      </c>
      <c r="F76" s="95">
        <v>16.037102482598605</v>
      </c>
      <c r="G76" s="95">
        <v>15.589380926104171</v>
      </c>
      <c r="H76" s="95">
        <v>15.078441723277074</v>
      </c>
      <c r="I76" s="95">
        <v>14.507391982693644</v>
      </c>
      <c r="J76" s="42">
        <f t="shared" si="25"/>
        <v>128.72601970489899</v>
      </c>
      <c r="K76" s="61"/>
      <c r="L76" s="40" t="s">
        <v>20</v>
      </c>
      <c r="M76" s="96">
        <f t="shared" si="18"/>
        <v>0</v>
      </c>
      <c r="N76" s="95">
        <f t="shared" si="18"/>
        <v>-2.371780641729659</v>
      </c>
      <c r="O76" s="95">
        <f t="shared" si="18"/>
        <v>-0.66286490216254279</v>
      </c>
      <c r="P76" s="95">
        <f t="shared" si="18"/>
        <v>-0.51906995775175702</v>
      </c>
      <c r="Q76" s="95">
        <f t="shared" si="18"/>
        <v>-0.3371024825986062</v>
      </c>
      <c r="R76" s="95">
        <f t="shared" si="18"/>
        <v>-0.13938092610417208</v>
      </c>
      <c r="S76" s="95">
        <f t="shared" si="18"/>
        <v>0.22155827672292716</v>
      </c>
      <c r="T76" s="95">
        <f t="shared" si="18"/>
        <v>0.59260801730635571</v>
      </c>
      <c r="U76" s="42">
        <f t="shared" si="18"/>
        <v>-3.2160326163174346</v>
      </c>
      <c r="W76" s="40" t="s">
        <v>20</v>
      </c>
      <c r="X76" s="98">
        <f t="shared" si="21"/>
        <v>0</v>
      </c>
      <c r="Y76" s="99">
        <f t="shared" si="19"/>
        <v>-0.13667227278569902</v>
      </c>
      <c r="Z76" s="99">
        <f t="shared" si="19"/>
        <v>-3.9077414457155533E-2</v>
      </c>
      <c r="AA76" s="99">
        <f t="shared" si="19"/>
        <v>-3.1422468642562873E-2</v>
      </c>
      <c r="AB76" s="99">
        <f t="shared" si="19"/>
        <v>-2.102016140162391E-2</v>
      </c>
      <c r="AC76" s="99">
        <f t="shared" si="19"/>
        <v>-8.9407608143554258E-3</v>
      </c>
      <c r="AD76" s="99">
        <f t="shared" si="19"/>
        <v>1.4693711776655313E-2</v>
      </c>
      <c r="AE76" s="99">
        <f t="shared" si="19"/>
        <v>4.0848694101138082E-2</v>
      </c>
      <c r="AF76" s="126">
        <f t="shared" si="19"/>
        <v>-2.49835474109283E-2</v>
      </c>
    </row>
    <row r="77" spans="1:32">
      <c r="A77" s="40" t="s">
        <v>21</v>
      </c>
      <c r="B77" s="95">
        <v>8.5087628012641066</v>
      </c>
      <c r="C77" s="95">
        <v>8.4808332614633226</v>
      </c>
      <c r="D77" s="95">
        <v>8.4227214833986377</v>
      </c>
      <c r="E77" s="95">
        <v>8.373271803594875</v>
      </c>
      <c r="F77" s="95">
        <v>8.3365982853531779</v>
      </c>
      <c r="G77" s="95">
        <v>8.3087265779190549</v>
      </c>
      <c r="H77" s="95">
        <v>8.3340234852496113</v>
      </c>
      <c r="I77" s="95">
        <v>8.4071148121976229</v>
      </c>
      <c r="J77" s="42">
        <f t="shared" si="25"/>
        <v>67.172052510440409</v>
      </c>
      <c r="K77" s="61"/>
      <c r="L77" s="40" t="s">
        <v>21</v>
      </c>
      <c r="M77" s="96">
        <f t="shared" si="18"/>
        <v>0</v>
      </c>
      <c r="N77" s="95">
        <f t="shared" si="18"/>
        <v>0.8841667385366776</v>
      </c>
      <c r="O77" s="95">
        <f t="shared" si="18"/>
        <v>0.47727851660136267</v>
      </c>
      <c r="P77" s="95">
        <f t="shared" si="18"/>
        <v>0.42672819640512571</v>
      </c>
      <c r="Q77" s="95">
        <f t="shared" si="18"/>
        <v>0.36340171464682136</v>
      </c>
      <c r="R77" s="95">
        <f t="shared" si="18"/>
        <v>0.29127342208094475</v>
      </c>
      <c r="S77" s="95">
        <f t="shared" si="18"/>
        <v>0.16597651475038866</v>
      </c>
      <c r="T77" s="95">
        <f t="shared" si="18"/>
        <v>-7.1148121976225553E-3</v>
      </c>
      <c r="U77" s="42">
        <f t="shared" si="18"/>
        <v>2.6017102908237035</v>
      </c>
      <c r="W77" s="40" t="s">
        <v>21</v>
      </c>
      <c r="X77" s="98">
        <f t="shared" si="21"/>
        <v>0</v>
      </c>
      <c r="Y77" s="99">
        <f t="shared" si="19"/>
        <v>0.10425470131034263</v>
      </c>
      <c r="Z77" s="99">
        <f t="shared" si="19"/>
        <v>5.6665594076936859E-2</v>
      </c>
      <c r="AA77" s="99">
        <f t="shared" si="19"/>
        <v>5.0963136801783937E-2</v>
      </c>
      <c r="AB77" s="99">
        <f t="shared" si="19"/>
        <v>4.3591127005039074E-2</v>
      </c>
      <c r="AC77" s="99">
        <f t="shared" si="19"/>
        <v>3.5056325340518675E-2</v>
      </c>
      <c r="AD77" s="99">
        <f t="shared" si="19"/>
        <v>1.9915532400904618E-2</v>
      </c>
      <c r="AE77" s="99">
        <f t="shared" si="19"/>
        <v>-8.4628464777237187E-4</v>
      </c>
      <c r="AF77" s="126">
        <f t="shared" si="19"/>
        <v>3.873203502929027E-2</v>
      </c>
    </row>
    <row r="78" spans="1:32">
      <c r="A78" s="40" t="s">
        <v>22</v>
      </c>
      <c r="B78" s="95">
        <v>0</v>
      </c>
      <c r="C78" s="95">
        <v>0</v>
      </c>
      <c r="D78" s="95">
        <v>0</v>
      </c>
      <c r="E78" s="95">
        <v>0</v>
      </c>
      <c r="F78" s="95">
        <v>0</v>
      </c>
      <c r="G78" s="95">
        <v>0</v>
      </c>
      <c r="H78" s="95">
        <v>0</v>
      </c>
      <c r="I78" s="95">
        <v>0</v>
      </c>
      <c r="J78" s="42">
        <f t="shared" si="25"/>
        <v>0</v>
      </c>
      <c r="K78" s="61"/>
      <c r="L78" s="40" t="s">
        <v>22</v>
      </c>
      <c r="M78" s="96">
        <f t="shared" si="18"/>
        <v>0</v>
      </c>
      <c r="N78" s="95">
        <f t="shared" si="18"/>
        <v>0</v>
      </c>
      <c r="O78" s="95" t="e">
        <f t="shared" si="18"/>
        <v>#VALUE!</v>
      </c>
      <c r="P78" s="95" t="e">
        <f t="shared" si="18"/>
        <v>#VALUE!</v>
      </c>
      <c r="Q78" s="95" t="e">
        <f t="shared" si="18"/>
        <v>#VALUE!</v>
      </c>
      <c r="R78" s="95" t="e">
        <f t="shared" si="18"/>
        <v>#VALUE!</v>
      </c>
      <c r="S78" s="95" t="e">
        <f t="shared" si="18"/>
        <v>#VALUE!</v>
      </c>
      <c r="T78" s="95" t="e">
        <f t="shared" si="18"/>
        <v>#VALUE!</v>
      </c>
      <c r="U78" s="42">
        <f t="shared" si="18"/>
        <v>0</v>
      </c>
      <c r="W78" s="40" t="s">
        <v>22</v>
      </c>
      <c r="X78" s="98" t="e">
        <f t="shared" si="21"/>
        <v>#DIV/0!</v>
      </c>
      <c r="Y78" s="99" t="e">
        <f t="shared" si="19"/>
        <v>#DIV/0!</v>
      </c>
      <c r="Z78" s="99" t="e">
        <f t="shared" si="19"/>
        <v>#VALUE!</v>
      </c>
      <c r="AA78" s="99" t="e">
        <f t="shared" si="19"/>
        <v>#VALUE!</v>
      </c>
      <c r="AB78" s="99" t="e">
        <f t="shared" si="19"/>
        <v>#VALUE!</v>
      </c>
      <c r="AC78" s="99" t="e">
        <f t="shared" si="19"/>
        <v>#VALUE!</v>
      </c>
      <c r="AD78" s="99" t="e">
        <f t="shared" si="19"/>
        <v>#VALUE!</v>
      </c>
      <c r="AE78" s="99" t="e">
        <f t="shared" si="19"/>
        <v>#VALUE!</v>
      </c>
      <c r="AF78" s="126" t="e">
        <f t="shared" si="19"/>
        <v>#DIV/0!</v>
      </c>
    </row>
    <row r="79" spans="1:32">
      <c r="A79" s="40" t="s">
        <v>24</v>
      </c>
      <c r="B79" s="95">
        <v>6.9388248652479128</v>
      </c>
      <c r="C79" s="95">
        <v>6.5927950361122143</v>
      </c>
      <c r="D79" s="95">
        <v>6.478287567610244</v>
      </c>
      <c r="E79" s="95">
        <v>6.3239202879775389</v>
      </c>
      <c r="F79" s="95">
        <v>6.1799290641568456</v>
      </c>
      <c r="G79" s="95">
        <v>6.1259608153993543</v>
      </c>
      <c r="H79" s="95">
        <v>6.0733992226912088</v>
      </c>
      <c r="I79" s="95">
        <v>6.0222011858022357</v>
      </c>
      <c r="J79" s="42">
        <f t="shared" si="25"/>
        <v>50.735318044997555</v>
      </c>
      <c r="K79" s="61"/>
      <c r="L79" s="40" t="s">
        <v>24</v>
      </c>
      <c r="M79" s="96">
        <f t="shared" si="18"/>
        <v>0</v>
      </c>
      <c r="N79" s="95">
        <f t="shared" si="18"/>
        <v>0.26620496388778569</v>
      </c>
      <c r="O79" s="95">
        <f t="shared" si="18"/>
        <v>0.33162329470985163</v>
      </c>
      <c r="P79" s="95">
        <f t="shared" si="18"/>
        <v>0.43599057434255695</v>
      </c>
      <c r="Q79" s="95">
        <f t="shared" si="18"/>
        <v>0.52998179816325042</v>
      </c>
      <c r="R79" s="95">
        <f t="shared" si="18"/>
        <v>0.53395004692074188</v>
      </c>
      <c r="S79" s="95">
        <f t="shared" si="18"/>
        <v>0.53651163962888759</v>
      </c>
      <c r="T79" s="95">
        <f t="shared" si="18"/>
        <v>0.53770967651786084</v>
      </c>
      <c r="U79" s="42">
        <f t="shared" si="18"/>
        <v>3.1719719941709315</v>
      </c>
      <c r="W79" s="40" t="s">
        <v>24</v>
      </c>
      <c r="X79" s="98">
        <f t="shared" si="21"/>
        <v>0</v>
      </c>
      <c r="Y79" s="99">
        <f t="shared" si="19"/>
        <v>4.0378164713090692E-2</v>
      </c>
      <c r="Z79" s="99">
        <f t="shared" si="19"/>
        <v>5.118996204612497E-2</v>
      </c>
      <c r="AA79" s="99">
        <f t="shared" si="19"/>
        <v>6.8943085062508222E-2</v>
      </c>
      <c r="AB79" s="99">
        <f t="shared" si="19"/>
        <v>8.5758556880063175E-2</v>
      </c>
      <c r="AC79" s="99">
        <f t="shared" si="19"/>
        <v>8.7161844975975969E-2</v>
      </c>
      <c r="AD79" s="99">
        <f t="shared" si="19"/>
        <v>8.8337950455223288E-2</v>
      </c>
      <c r="AE79" s="99">
        <f t="shared" si="19"/>
        <v>8.9287896556088056E-2</v>
      </c>
      <c r="AF79" s="126">
        <f t="shared" si="19"/>
        <v>6.2519998226042151E-2</v>
      </c>
    </row>
    <row r="80" spans="1:32">
      <c r="A80" s="27" t="s">
        <v>25</v>
      </c>
      <c r="B80" s="109">
        <v>3.8813113322710979</v>
      </c>
      <c r="C80" s="109">
        <v>3.8581475901272611</v>
      </c>
      <c r="D80" s="109">
        <v>3.8793939571278528</v>
      </c>
      <c r="E80" s="109">
        <v>3.8728139334545086</v>
      </c>
      <c r="F80" s="109">
        <v>3.868119613535169</v>
      </c>
      <c r="G80" s="109">
        <v>3.8606232576949848</v>
      </c>
      <c r="H80" s="109">
        <v>3.8531414296761968</v>
      </c>
      <c r="I80" s="109">
        <v>3.8456741013241111</v>
      </c>
      <c r="J80" s="44">
        <f t="shared" si="25"/>
        <v>30.919225215211181</v>
      </c>
      <c r="K80" s="61"/>
      <c r="L80" s="27" t="s">
        <v>25</v>
      </c>
      <c r="M80" s="103">
        <f t="shared" si="18"/>
        <v>0</v>
      </c>
      <c r="N80" s="109">
        <f t="shared" si="18"/>
        <v>0.41385240987273919</v>
      </c>
      <c r="O80" s="109">
        <f t="shared" si="18"/>
        <v>0.39300304287214693</v>
      </c>
      <c r="P80" s="109">
        <f t="shared" si="18"/>
        <v>0.39958306654549114</v>
      </c>
      <c r="Q80" s="109">
        <f t="shared" si="18"/>
        <v>0.4042773864648308</v>
      </c>
      <c r="R80" s="109">
        <f t="shared" si="18"/>
        <v>0.41177374230501496</v>
      </c>
      <c r="S80" s="109">
        <f t="shared" si="18"/>
        <v>0.41925557032380301</v>
      </c>
      <c r="T80" s="109">
        <f t="shared" si="18"/>
        <v>0.42672289867588864</v>
      </c>
      <c r="U80" s="44">
        <f t="shared" si="18"/>
        <v>2.8684681170599085</v>
      </c>
      <c r="W80" s="27" t="s">
        <v>25</v>
      </c>
      <c r="X80" s="105">
        <f t="shared" si="21"/>
        <v>0</v>
      </c>
      <c r="Y80" s="111">
        <f t="shared" si="19"/>
        <v>0.10726712760594218</v>
      </c>
      <c r="Z80" s="111">
        <f t="shared" si="19"/>
        <v>0.10130526757924595</v>
      </c>
      <c r="AA80" s="111">
        <f t="shared" si="19"/>
        <v>0.10317641730571531</v>
      </c>
      <c r="AB80" s="111">
        <f t="shared" si="19"/>
        <v>0.10451522363739725</v>
      </c>
      <c r="AC80" s="111">
        <f t="shared" si="19"/>
        <v>0.10665991339203289</v>
      </c>
      <c r="AD80" s="111">
        <f t="shared" si="19"/>
        <v>0.10880876759279393</v>
      </c>
      <c r="AE80" s="111">
        <f t="shared" si="19"/>
        <v>0.11096179432598381</v>
      </c>
      <c r="AF80" s="127">
        <f t="shared" si="19"/>
        <v>9.2772962358989575E-2</v>
      </c>
    </row>
    <row r="81" spans="1:32">
      <c r="A81" s="45" t="s">
        <v>26</v>
      </c>
      <c r="B81" s="128">
        <f t="shared" ref="B81:I81" si="26">SUM(B74:B79)</f>
        <v>55.756640766063114</v>
      </c>
      <c r="C81" s="128">
        <f t="shared" si="26"/>
        <v>57.614985042716739</v>
      </c>
      <c r="D81" s="128">
        <f t="shared" si="26"/>
        <v>57.025770911575904</v>
      </c>
      <c r="E81" s="128">
        <f t="shared" si="26"/>
        <v>56.917291119504959</v>
      </c>
      <c r="F81" s="128">
        <f t="shared" si="26"/>
        <v>56.108151524360075</v>
      </c>
      <c r="G81" s="128">
        <f t="shared" si="26"/>
        <v>55.431531530973864</v>
      </c>
      <c r="H81" s="128">
        <f t="shared" si="26"/>
        <v>55.354717665371503</v>
      </c>
      <c r="I81" s="128">
        <f t="shared" si="26"/>
        <v>55.230124601845382</v>
      </c>
      <c r="J81" s="46">
        <f t="shared" ref="J81:J87" si="27">SUM(B81:I81)</f>
        <v>449.43921316241153</v>
      </c>
      <c r="K81" s="61"/>
      <c r="L81" s="45" t="s">
        <v>26</v>
      </c>
      <c r="M81" s="129">
        <f t="shared" si="18"/>
        <v>0</v>
      </c>
      <c r="N81" s="128">
        <f t="shared" si="18"/>
        <v>-0.3499850427167317</v>
      </c>
      <c r="O81" s="46">
        <f t="shared" si="18"/>
        <v>1.8898064693266363</v>
      </c>
      <c r="P81" s="47">
        <f t="shared" si="18"/>
        <v>1.9482862613975911</v>
      </c>
      <c r="Q81" s="46">
        <f t="shared" si="18"/>
        <v>1.9074258565424742</v>
      </c>
      <c r="R81" s="46">
        <f t="shared" si="18"/>
        <v>1.7840458499286811</v>
      </c>
      <c r="S81" s="46">
        <f t="shared" si="18"/>
        <v>1.7608597155310548</v>
      </c>
      <c r="T81" s="46">
        <f t="shared" si="18"/>
        <v>1.7354527790571694</v>
      </c>
      <c r="U81" s="46">
        <f t="shared" si="18"/>
        <v>10.675891889066861</v>
      </c>
      <c r="W81" s="45" t="s">
        <v>26</v>
      </c>
      <c r="X81" s="130">
        <f t="shared" si="21"/>
        <v>0</v>
      </c>
      <c r="Y81" s="131">
        <f t="shared" si="19"/>
        <v>-6.0745488774707965E-3</v>
      </c>
      <c r="Z81" s="130">
        <f t="shared" si="19"/>
        <v>3.3139516382110261E-2</v>
      </c>
      <c r="AA81" s="132">
        <f t="shared" si="19"/>
        <v>3.4230129773866448E-2</v>
      </c>
      <c r="AB81" s="130">
        <f t="shared" si="19"/>
        <v>3.3995521233921612E-2</v>
      </c>
      <c r="AC81" s="130">
        <f t="shared" si="19"/>
        <v>3.2184675412256961E-2</v>
      </c>
      <c r="AD81" s="130">
        <f t="shared" si="19"/>
        <v>3.1810472346291155E-2</v>
      </c>
      <c r="AE81" s="130">
        <f t="shared" si="19"/>
        <v>3.1422213720647366E-2</v>
      </c>
      <c r="AF81" s="130">
        <f t="shared" si="19"/>
        <v>2.3753806024061744E-2</v>
      </c>
    </row>
    <row r="82" spans="1:32">
      <c r="A82" s="40" t="s">
        <v>27</v>
      </c>
      <c r="B82" s="88">
        <v>24.00316040884033</v>
      </c>
      <c r="C82" s="88">
        <v>22.843598012423154</v>
      </c>
      <c r="D82" s="88">
        <v>22.168259844160445</v>
      </c>
      <c r="E82" s="88">
        <v>22.098370969935811</v>
      </c>
      <c r="F82" s="88">
        <v>22.03964906142615</v>
      </c>
      <c r="G82" s="88">
        <v>21.965371907828676</v>
      </c>
      <c r="H82" s="88">
        <v>21.891605733080226</v>
      </c>
      <c r="I82" s="88">
        <v>21.818345279110819</v>
      </c>
      <c r="J82" s="49">
        <f t="shared" si="27"/>
        <v>178.8283612168056</v>
      </c>
      <c r="K82" s="61"/>
      <c r="L82" s="40" t="s">
        <v>27</v>
      </c>
      <c r="M82" s="133">
        <f t="shared" si="18"/>
        <v>0</v>
      </c>
      <c r="N82" s="88">
        <f t="shared" si="18"/>
        <v>1.7154019875768505</v>
      </c>
      <c r="O82" s="88">
        <f t="shared" si="18"/>
        <v>1.4864929432929515</v>
      </c>
      <c r="P82" s="88">
        <f t="shared" si="18"/>
        <v>-0.14361818248241676</v>
      </c>
      <c r="Q82" s="88">
        <f t="shared" si="18"/>
        <v>-0.43489627397275754</v>
      </c>
      <c r="R82" s="88">
        <f t="shared" si="18"/>
        <v>-0.71061912037528074</v>
      </c>
      <c r="S82" s="88">
        <f t="shared" si="18"/>
        <v>-0.98685294562683268</v>
      </c>
      <c r="T82" s="88">
        <f t="shared" si="18"/>
        <v>-1.2635924916574268</v>
      </c>
      <c r="U82" s="49">
        <f t="shared" si="18"/>
        <v>-0.33768408324490906</v>
      </c>
      <c r="W82" s="40" t="s">
        <v>27</v>
      </c>
      <c r="X82" s="98">
        <f t="shared" si="21"/>
        <v>0</v>
      </c>
      <c r="Y82" s="92">
        <f t="shared" si="19"/>
        <v>7.5093336288090617E-2</v>
      </c>
      <c r="Z82" s="92">
        <f t="shared" si="19"/>
        <v>6.7055012605534883E-2</v>
      </c>
      <c r="AA82" s="92">
        <f t="shared" si="19"/>
        <v>-6.4990393490002097E-3</v>
      </c>
      <c r="AB82" s="92">
        <f t="shared" si="19"/>
        <v>-1.9732450038594949E-2</v>
      </c>
      <c r="AC82" s="92">
        <f t="shared" si="19"/>
        <v>-3.2351790962483501E-2</v>
      </c>
      <c r="AD82" s="92">
        <f t="shared" si="19"/>
        <v>-4.5079057135384425E-2</v>
      </c>
      <c r="AE82" s="92">
        <f t="shared" si="19"/>
        <v>-5.7914221976641256E-2</v>
      </c>
      <c r="AF82" s="126">
        <f t="shared" si="19"/>
        <v>-1.8883139170274676E-3</v>
      </c>
    </row>
    <row r="83" spans="1:32">
      <c r="A83" s="40" t="s">
        <v>28</v>
      </c>
      <c r="B83" s="95">
        <v>2.4678725641299031</v>
      </c>
      <c r="C83" s="95">
        <v>2.9165345651446013</v>
      </c>
      <c r="D83" s="95">
        <v>3.0737081674119273</v>
      </c>
      <c r="E83" s="95">
        <v>3.1708548269904462</v>
      </c>
      <c r="F83" s="95">
        <v>3.1395202839196168</v>
      </c>
      <c r="G83" s="95">
        <v>3.1086565157069495</v>
      </c>
      <c r="H83" s="95">
        <v>3.1503585322682959</v>
      </c>
      <c r="I83" s="95">
        <v>2.9042258589399523</v>
      </c>
      <c r="J83" s="49">
        <f t="shared" si="27"/>
        <v>23.931731314511694</v>
      </c>
      <c r="K83" s="61"/>
      <c r="L83" s="40" t="s">
        <v>28</v>
      </c>
      <c r="M83" s="133">
        <f t="shared" si="18"/>
        <v>0</v>
      </c>
      <c r="N83" s="95">
        <f t="shared" si="18"/>
        <v>-0.52453456514460184</v>
      </c>
      <c r="O83" s="95">
        <f t="shared" si="18"/>
        <v>-0.67370816741192741</v>
      </c>
      <c r="P83" s="95">
        <f t="shared" si="18"/>
        <v>-0.77085482699044627</v>
      </c>
      <c r="Q83" s="95">
        <f t="shared" si="18"/>
        <v>-0.73952028391961688</v>
      </c>
      <c r="R83" s="95">
        <f t="shared" si="18"/>
        <v>-0.70865651570694954</v>
      </c>
      <c r="S83" s="95">
        <f t="shared" si="18"/>
        <v>-0.75035853226829596</v>
      </c>
      <c r="T83" s="95">
        <f t="shared" si="18"/>
        <v>-0.50422585893995242</v>
      </c>
      <c r="U83" s="49">
        <f t="shared" si="18"/>
        <v>-4.6718587503817908</v>
      </c>
      <c r="W83" s="40" t="s">
        <v>28</v>
      </c>
      <c r="X83" s="98">
        <f t="shared" si="21"/>
        <v>0</v>
      </c>
      <c r="Y83" s="99">
        <f t="shared" si="19"/>
        <v>-0.1798485680277187</v>
      </c>
      <c r="Z83" s="99">
        <f t="shared" si="19"/>
        <v>-0.21918416802047669</v>
      </c>
      <c r="AA83" s="99">
        <f t="shared" si="19"/>
        <v>-0.24310631329725296</v>
      </c>
      <c r="AB83" s="99">
        <f t="shared" si="19"/>
        <v>-0.23555200063760801</v>
      </c>
      <c r="AC83" s="99">
        <f t="shared" si="19"/>
        <v>-0.22796230851699345</v>
      </c>
      <c r="AD83" s="99">
        <f t="shared" si="19"/>
        <v>-0.23818194804895074</v>
      </c>
      <c r="AE83" s="99">
        <f t="shared" si="19"/>
        <v>-0.17361799096575628</v>
      </c>
      <c r="AF83" s="126">
        <f t="shared" si="19"/>
        <v>-0.19521607897832594</v>
      </c>
    </row>
    <row r="84" spans="1:32">
      <c r="A84" s="50" t="s">
        <v>29</v>
      </c>
      <c r="B84" s="47">
        <v>26.471032972970235</v>
      </c>
      <c r="C84" s="47">
        <v>25.760132577567752</v>
      </c>
      <c r="D84" s="47">
        <v>25.241968011572371</v>
      </c>
      <c r="E84" s="47">
        <v>25.269225796926257</v>
      </c>
      <c r="F84" s="47">
        <v>25.179169345345766</v>
      </c>
      <c r="G84" s="47">
        <v>25.074028423535626</v>
      </c>
      <c r="H84" s="47">
        <v>25.041964265348522</v>
      </c>
      <c r="I84" s="47">
        <v>24.722571138050771</v>
      </c>
      <c r="J84" s="41">
        <f t="shared" si="27"/>
        <v>202.7600925313173</v>
      </c>
      <c r="K84" s="61"/>
      <c r="L84" s="50" t="s">
        <v>29</v>
      </c>
      <c r="M84" s="96">
        <f t="shared" si="18"/>
        <v>0</v>
      </c>
      <c r="N84" s="47">
        <f t="shared" si="18"/>
        <v>1.1908674224322517</v>
      </c>
      <c r="O84" s="47">
        <f t="shared" si="18"/>
        <v>0.81278477588102405</v>
      </c>
      <c r="P84" s="47">
        <f t="shared" si="18"/>
        <v>-0.91447300947286436</v>
      </c>
      <c r="Q84" s="47">
        <f t="shared" si="18"/>
        <v>-1.1744165578923749</v>
      </c>
      <c r="R84" s="47">
        <f t="shared" si="18"/>
        <v>-1.4192756360822329</v>
      </c>
      <c r="S84" s="47">
        <f t="shared" si="18"/>
        <v>-1.73721147789513</v>
      </c>
      <c r="T84" s="47">
        <f t="shared" si="18"/>
        <v>-1.7678183505973806</v>
      </c>
      <c r="U84" s="41">
        <f t="shared" si="18"/>
        <v>-5.0095428336266821</v>
      </c>
      <c r="W84" s="50" t="s">
        <v>29</v>
      </c>
      <c r="X84" s="98">
        <f t="shared" si="21"/>
        <v>0</v>
      </c>
      <c r="Y84" s="132">
        <f t="shared" si="19"/>
        <v>4.622908748029015E-2</v>
      </c>
      <c r="Z84" s="132">
        <f t="shared" si="19"/>
        <v>3.2199738764758623E-2</v>
      </c>
      <c r="AA84" s="132">
        <f t="shared" si="19"/>
        <v>-3.6189197754689449E-2</v>
      </c>
      <c r="AB84" s="132">
        <f t="shared" si="19"/>
        <v>-4.6642386878797473E-2</v>
      </c>
      <c r="AC84" s="132">
        <f t="shared" si="19"/>
        <v>-5.6603414980180691E-2</v>
      </c>
      <c r="AD84" s="132">
        <f t="shared" si="19"/>
        <v>-6.9372013292861884E-2</v>
      </c>
      <c r="AE84" s="132">
        <f t="shared" si="19"/>
        <v>-7.1506249925458301E-2</v>
      </c>
      <c r="AF84" s="115">
        <f t="shared" si="19"/>
        <v>-2.4706749593009451E-2</v>
      </c>
    </row>
    <row r="85" spans="1:32">
      <c r="A85" s="51" t="s">
        <v>30</v>
      </c>
      <c r="B85" s="47">
        <f>SUM(B84,B81)</f>
        <v>82.227673739033349</v>
      </c>
      <c r="C85" s="47">
        <f t="shared" ref="C85:I85" si="28">SUM(C84,C81)</f>
        <v>83.375117620284499</v>
      </c>
      <c r="D85" s="47">
        <f t="shared" si="28"/>
        <v>82.267738923148272</v>
      </c>
      <c r="E85" s="47">
        <f t="shared" si="28"/>
        <v>82.186516916431216</v>
      </c>
      <c r="F85" s="47">
        <f t="shared" si="28"/>
        <v>81.287320869705837</v>
      </c>
      <c r="G85" s="47">
        <f t="shared" si="28"/>
        <v>80.505559954509494</v>
      </c>
      <c r="H85" s="47">
        <f t="shared" si="28"/>
        <v>80.396681930720021</v>
      </c>
      <c r="I85" s="47">
        <f t="shared" si="28"/>
        <v>79.952695739896157</v>
      </c>
      <c r="J85" s="46">
        <f t="shared" ref="J85" si="29">SUM(J84,J81)+(0.5*J86)</f>
        <v>652.19930569372877</v>
      </c>
      <c r="K85" s="61"/>
      <c r="L85" s="51" t="s">
        <v>30</v>
      </c>
      <c r="M85" s="129">
        <f t="shared" si="18"/>
        <v>0</v>
      </c>
      <c r="N85" s="47">
        <f t="shared" si="18"/>
        <v>0.84088237971550939</v>
      </c>
      <c r="O85" s="46">
        <f t="shared" si="18"/>
        <v>2.7025912452076568</v>
      </c>
      <c r="P85" s="46">
        <f t="shared" si="18"/>
        <v>1.0338132519247267</v>
      </c>
      <c r="Q85" s="46">
        <f t="shared" si="18"/>
        <v>0.73300929865010289</v>
      </c>
      <c r="R85" s="46">
        <f t="shared" si="18"/>
        <v>0.36477021384644104</v>
      </c>
      <c r="S85" s="46">
        <f t="shared" si="18"/>
        <v>2.3648237635924829E-2</v>
      </c>
      <c r="T85" s="46">
        <f t="shared" si="18"/>
        <v>-3.2365571540211135E-2</v>
      </c>
      <c r="U85" s="46">
        <f t="shared" si="18"/>
        <v>5.6663490554401506</v>
      </c>
      <c r="W85" s="51" t="s">
        <v>30</v>
      </c>
      <c r="X85" s="130">
        <f t="shared" si="21"/>
        <v>0</v>
      </c>
      <c r="Y85" s="132">
        <f t="shared" si="19"/>
        <v>1.0085531555651197E-2</v>
      </c>
      <c r="Z85" s="130">
        <f t="shared" si="19"/>
        <v>3.2851167183922801E-2</v>
      </c>
      <c r="AA85" s="130">
        <f t="shared" si="19"/>
        <v>1.2578866835005642E-2</v>
      </c>
      <c r="AB85" s="130">
        <f t="shared" si="19"/>
        <v>9.0175108591047295E-3</v>
      </c>
      <c r="AC85" s="130">
        <f t="shared" si="19"/>
        <v>4.5309940587030043E-3</v>
      </c>
      <c r="AD85" s="130">
        <f t="shared" si="19"/>
        <v>2.9414444810425323E-4</v>
      </c>
      <c r="AE85" s="130">
        <f t="shared" si="19"/>
        <v>-4.0480900913589599E-4</v>
      </c>
      <c r="AF85" s="130">
        <f t="shared" si="19"/>
        <v>8.6880636118019036E-3</v>
      </c>
    </row>
    <row r="86" spans="1:32">
      <c r="A86" s="134" t="s">
        <v>52</v>
      </c>
      <c r="B86" s="135">
        <v>1.8363503226099476E-2</v>
      </c>
      <c r="C86" s="135">
        <v>0</v>
      </c>
      <c r="D86" s="135">
        <v>0</v>
      </c>
      <c r="E86" s="135">
        <v>0</v>
      </c>
      <c r="F86" s="135">
        <v>0</v>
      </c>
      <c r="G86" s="135">
        <v>0</v>
      </c>
      <c r="H86" s="135">
        <v>0</v>
      </c>
      <c r="I86" s="135">
        <v>0</v>
      </c>
      <c r="J86" s="53"/>
      <c r="K86" s="136"/>
      <c r="L86" s="134" t="s">
        <v>52</v>
      </c>
      <c r="M86" s="137"/>
      <c r="N86" s="135"/>
      <c r="O86" s="53"/>
      <c r="P86" s="53"/>
      <c r="Q86" s="53"/>
      <c r="R86" s="53"/>
      <c r="S86" s="53"/>
      <c r="T86" s="53"/>
      <c r="U86" s="53"/>
      <c r="V86" s="138"/>
      <c r="W86" s="134" t="s">
        <v>52</v>
      </c>
      <c r="X86" s="139">
        <f t="shared" si="21"/>
        <v>0</v>
      </c>
      <c r="Y86" s="140" t="e">
        <f t="shared" si="19"/>
        <v>#DIV/0!</v>
      </c>
      <c r="Z86" s="140" t="e">
        <f t="shared" si="19"/>
        <v>#DIV/0!</v>
      </c>
      <c r="AA86" s="140" t="e">
        <f t="shared" si="19"/>
        <v>#DIV/0!</v>
      </c>
      <c r="AB86" s="140" t="e">
        <f t="shared" si="19"/>
        <v>#DIV/0!</v>
      </c>
      <c r="AC86" s="140" t="e">
        <f t="shared" si="19"/>
        <v>#DIV/0!</v>
      </c>
      <c r="AD86" s="140" t="e">
        <f t="shared" si="19"/>
        <v>#DIV/0!</v>
      </c>
      <c r="AE86" s="140" t="e">
        <f t="shared" si="19"/>
        <v>#DIV/0!</v>
      </c>
      <c r="AF86" s="141" t="e">
        <f t="shared" si="19"/>
        <v>#DIV/0!</v>
      </c>
    </row>
    <row r="87" spans="1:32">
      <c r="A87" s="55" t="s">
        <v>32</v>
      </c>
      <c r="B87" s="56">
        <f t="shared" ref="B87:I87" si="30">SUM(B85,B73,B69)</f>
        <v>213.30079879012308</v>
      </c>
      <c r="C87" s="56">
        <f t="shared" si="30"/>
        <v>212.57337611134389</v>
      </c>
      <c r="D87" s="56">
        <f t="shared" si="30"/>
        <v>215.09350351250185</v>
      </c>
      <c r="E87" s="56">
        <f t="shared" si="30"/>
        <v>212.55193427540121</v>
      </c>
      <c r="F87" s="56">
        <f t="shared" si="30"/>
        <v>205.76767894288542</v>
      </c>
      <c r="G87" s="56">
        <f t="shared" si="30"/>
        <v>206.04093276879348</v>
      </c>
      <c r="H87" s="56">
        <f t="shared" si="30"/>
        <v>203.31646956399163</v>
      </c>
      <c r="I87" s="56">
        <f t="shared" si="30"/>
        <v>202.43686357728706</v>
      </c>
      <c r="J87" s="56">
        <f t="shared" si="27"/>
        <v>1671.0815575423276</v>
      </c>
      <c r="K87" s="61"/>
      <c r="L87" s="55" t="s">
        <v>32</v>
      </c>
      <c r="M87" s="142">
        <f t="shared" ref="M87:U87" si="31">B37-B87</f>
        <v>0</v>
      </c>
      <c r="N87" s="56">
        <f t="shared" si="31"/>
        <v>14.655623888656095</v>
      </c>
      <c r="O87" s="56">
        <f t="shared" si="31"/>
        <v>15.794119700990677</v>
      </c>
      <c r="P87" s="56">
        <f t="shared" si="31"/>
        <v>6.3161048915856099</v>
      </c>
      <c r="Q87" s="56">
        <f t="shared" si="31"/>
        <v>1.2457770383574314</v>
      </c>
      <c r="R87" s="56">
        <f t="shared" si="31"/>
        <v>-0.75818229437277296</v>
      </c>
      <c r="S87" s="56">
        <f t="shared" si="31"/>
        <v>-2.2902261979550929</v>
      </c>
      <c r="T87" s="56">
        <f t="shared" si="31"/>
        <v>-3.2145397297779823</v>
      </c>
      <c r="U87" s="56">
        <f t="shared" si="31"/>
        <v>31.748677297484392</v>
      </c>
      <c r="W87" s="55" t="s">
        <v>32</v>
      </c>
      <c r="X87" s="143">
        <f t="shared" si="21"/>
        <v>0</v>
      </c>
      <c r="Y87" s="143">
        <f t="shared" si="19"/>
        <v>6.8943835567534195E-2</v>
      </c>
      <c r="Z87" s="143">
        <f t="shared" si="19"/>
        <v>7.3429087550627381E-2</v>
      </c>
      <c r="AA87" s="143">
        <f t="shared" si="19"/>
        <v>2.9715584161195647E-2</v>
      </c>
      <c r="AB87" s="143">
        <f t="shared" si="19"/>
        <v>6.0542892098385363E-3</v>
      </c>
      <c r="AC87" s="143">
        <f t="shared" si="19"/>
        <v>-3.6797653950807856E-3</v>
      </c>
      <c r="AD87" s="143">
        <f t="shared" si="19"/>
        <v>-1.1264341756801306E-2</v>
      </c>
      <c r="AE87" s="143">
        <f t="shared" si="19"/>
        <v>-1.5879221170361217E-2</v>
      </c>
      <c r="AF87" s="143">
        <f t="shared" si="19"/>
        <v>1.8998879590399774E-2</v>
      </c>
    </row>
    <row r="88" spans="1:32" s="86" customFormat="1">
      <c r="A88" s="57" t="s">
        <v>33</v>
      </c>
      <c r="B88" s="144"/>
      <c r="C88" s="144"/>
      <c r="D88" s="144"/>
      <c r="E88" s="144"/>
      <c r="F88" s="144"/>
      <c r="G88" s="144"/>
      <c r="H88" s="144"/>
      <c r="I88" s="144"/>
      <c r="J88" s="60"/>
      <c r="K88" s="85"/>
      <c r="L88" s="57" t="s">
        <v>33</v>
      </c>
      <c r="M88" s="145"/>
      <c r="N88" s="144"/>
      <c r="O88" s="146"/>
      <c r="P88" s="144"/>
      <c r="Q88" s="144"/>
      <c r="R88" s="144"/>
      <c r="S88" s="144"/>
      <c r="T88" s="144"/>
      <c r="U88" s="60"/>
      <c r="W88" s="57" t="s">
        <v>33</v>
      </c>
      <c r="X88" s="147" t="e">
        <f t="shared" si="21"/>
        <v>#DIV/0!</v>
      </c>
      <c r="Y88" s="147" t="e">
        <f t="shared" si="19"/>
        <v>#DIV/0!</v>
      </c>
      <c r="Z88" s="148" t="e">
        <f t="shared" si="19"/>
        <v>#DIV/0!</v>
      </c>
      <c r="AA88" s="147" t="e">
        <f t="shared" si="19"/>
        <v>#DIV/0!</v>
      </c>
      <c r="AB88" s="147" t="e">
        <f t="shared" si="19"/>
        <v>#DIV/0!</v>
      </c>
      <c r="AC88" s="147" t="e">
        <f t="shared" si="19"/>
        <v>#DIV/0!</v>
      </c>
      <c r="AD88" s="147" t="e">
        <f t="shared" si="19"/>
        <v>#DIV/0!</v>
      </c>
      <c r="AE88" s="147" t="e">
        <f t="shared" si="19"/>
        <v>#DIV/0!</v>
      </c>
      <c r="AF88" s="149" t="e">
        <f t="shared" si="19"/>
        <v>#DIV/0!</v>
      </c>
    </row>
    <row r="89" spans="1:32">
      <c r="A89" s="40" t="s">
        <v>34</v>
      </c>
      <c r="B89" s="95">
        <v>46.918788661518633</v>
      </c>
      <c r="C89" s="95">
        <v>48.296939551668494</v>
      </c>
      <c r="D89" s="95">
        <v>49.161072440459932</v>
      </c>
      <c r="E89" s="95">
        <v>48.993973380507143</v>
      </c>
      <c r="F89" s="95">
        <v>48.928863392895515</v>
      </c>
      <c r="G89" s="95">
        <v>47.198347331041951</v>
      </c>
      <c r="H89" s="95">
        <v>47.225386519367959</v>
      </c>
      <c r="I89" s="95">
        <v>47.248020181724193</v>
      </c>
      <c r="J89" s="62">
        <f>SUM(B89:I89)</f>
        <v>383.97139145918391</v>
      </c>
      <c r="K89" s="61"/>
      <c r="L89" s="40" t="s">
        <v>34</v>
      </c>
      <c r="M89" s="125">
        <f t="shared" ref="M89:U94" si="32">B39-B89</f>
        <v>0</v>
      </c>
      <c r="N89" s="95">
        <f t="shared" si="32"/>
        <v>-7.7939551668499973E-2</v>
      </c>
      <c r="O89" s="95">
        <f t="shared" si="32"/>
        <v>0.36062989514696397</v>
      </c>
      <c r="P89" s="95">
        <f t="shared" si="32"/>
        <v>0.22706249497920084</v>
      </c>
      <c r="Q89" s="95">
        <f t="shared" si="32"/>
        <v>0.17965236930236728</v>
      </c>
      <c r="R89" s="95">
        <f t="shared" si="32"/>
        <v>-0.56877501090056626</v>
      </c>
      <c r="S89" s="95">
        <f t="shared" si="32"/>
        <v>-0.69800410352733167</v>
      </c>
      <c r="T89" s="150">
        <f t="shared" si="32"/>
        <v>-0.71196985321537198</v>
      </c>
      <c r="U89" s="62">
        <f t="shared" si="32"/>
        <v>-1.2893437598833088</v>
      </c>
      <c r="W89" s="40" t="s">
        <v>34</v>
      </c>
      <c r="X89" s="115">
        <f t="shared" si="21"/>
        <v>0</v>
      </c>
      <c r="Y89" s="99">
        <f t="shared" si="19"/>
        <v>-1.6137575670839258E-3</v>
      </c>
      <c r="Z89" s="99">
        <f t="shared" si="19"/>
        <v>7.3356799850884226E-3</v>
      </c>
      <c r="AA89" s="99">
        <f t="shared" si="19"/>
        <v>4.6344984762868909E-3</v>
      </c>
      <c r="AB89" s="99">
        <f t="shared" si="19"/>
        <v>3.6717053461833094E-3</v>
      </c>
      <c r="AC89" s="99">
        <f t="shared" si="19"/>
        <v>-1.2050739974246678E-2</v>
      </c>
      <c r="AD89" s="99">
        <f t="shared" si="19"/>
        <v>-1.4780272962743628E-2</v>
      </c>
      <c r="AE89" s="151">
        <f t="shared" si="19"/>
        <v>-1.5068776437129233E-2</v>
      </c>
      <c r="AF89" s="126">
        <f t="shared" si="19"/>
        <v>-3.3579162108496978E-3</v>
      </c>
    </row>
    <row r="90" spans="1:32">
      <c r="A90" s="40" t="s">
        <v>35</v>
      </c>
      <c r="B90" s="95">
        <v>6.7893952080766953</v>
      </c>
      <c r="C90" s="95">
        <v>8.6520046113143643</v>
      </c>
      <c r="D90" s="95">
        <v>8.1284130999920716</v>
      </c>
      <c r="E90" s="95">
        <v>9.0633667380549596</v>
      </c>
      <c r="F90" s="95">
        <v>12.210742169197088</v>
      </c>
      <c r="G90" s="95">
        <v>11.660810398562846</v>
      </c>
      <c r="H90" s="95">
        <v>11.33019169022513</v>
      </c>
      <c r="I90" s="95">
        <v>10.94887101000808</v>
      </c>
      <c r="J90" s="62">
        <f>SUM(B90:I90)</f>
        <v>78.783794925431238</v>
      </c>
      <c r="K90" s="61"/>
      <c r="L90" s="40" t="s">
        <v>35</v>
      </c>
      <c r="M90" s="96">
        <f t="shared" si="32"/>
        <v>0</v>
      </c>
      <c r="N90" s="95">
        <f t="shared" si="32"/>
        <v>1.5995388685634992E-2</v>
      </c>
      <c r="O90" s="95">
        <f t="shared" si="32"/>
        <v>-0.71406752444363786</v>
      </c>
      <c r="P90" s="95">
        <f t="shared" si="32"/>
        <v>-1.362283190311909</v>
      </c>
      <c r="Q90" s="95">
        <f t="shared" si="32"/>
        <v>-1.3042313638517218</v>
      </c>
      <c r="R90" s="95">
        <f t="shared" si="32"/>
        <v>-1.2773053461762593</v>
      </c>
      <c r="S90" s="95">
        <f t="shared" si="32"/>
        <v>-1.2139931344004378</v>
      </c>
      <c r="T90" s="150">
        <f t="shared" si="32"/>
        <v>-1.1614216251588143</v>
      </c>
      <c r="U90" s="62">
        <f t="shared" si="32"/>
        <v>-7.0173067956571487</v>
      </c>
      <c r="W90" s="40" t="s">
        <v>35</v>
      </c>
      <c r="X90" s="98">
        <f t="shared" si="21"/>
        <v>0</v>
      </c>
      <c r="Y90" s="99">
        <f t="shared" si="19"/>
        <v>1.8487494406461097E-3</v>
      </c>
      <c r="Z90" s="99">
        <f t="shared" si="19"/>
        <v>-8.7848330991486437E-2</v>
      </c>
      <c r="AA90" s="99">
        <f t="shared" si="19"/>
        <v>-0.15030652843297185</v>
      </c>
      <c r="AB90" s="99">
        <f t="shared" si="19"/>
        <v>-0.10681016319726952</v>
      </c>
      <c r="AC90" s="99">
        <f t="shared" si="19"/>
        <v>-0.10953829987096632</v>
      </c>
      <c r="AD90" s="99">
        <f t="shared" si="19"/>
        <v>-0.10714674275526895</v>
      </c>
      <c r="AE90" s="151">
        <f t="shared" si="19"/>
        <v>-0.10607683879892171</v>
      </c>
      <c r="AF90" s="126">
        <f t="shared" si="19"/>
        <v>-8.9070433866495269E-2</v>
      </c>
    </row>
    <row r="91" spans="1:32">
      <c r="A91" s="40" t="s">
        <v>36</v>
      </c>
      <c r="B91" s="95">
        <v>8.7711237318754911</v>
      </c>
      <c r="C91" s="95">
        <v>7.2028778082572646</v>
      </c>
      <c r="D91" s="95">
        <v>7.6839939787577993</v>
      </c>
      <c r="E91" s="95">
        <v>7.4732696047660951</v>
      </c>
      <c r="F91" s="95">
        <v>7.2690070819235411</v>
      </c>
      <c r="G91" s="95">
        <v>7.040611575831254</v>
      </c>
      <c r="H91" s="95">
        <v>6.8345237442014657</v>
      </c>
      <c r="I91" s="95">
        <v>6.605799085808874</v>
      </c>
      <c r="J91" s="62">
        <f>SUM(B91:I91)</f>
        <v>58.881206611421796</v>
      </c>
      <c r="K91" s="61"/>
      <c r="L91" s="40" t="s">
        <v>36</v>
      </c>
      <c r="M91" s="96">
        <f t="shared" si="32"/>
        <v>0</v>
      </c>
      <c r="N91" s="95">
        <f t="shared" si="32"/>
        <v>-0.91535058198937236</v>
      </c>
      <c r="O91" s="95">
        <f t="shared" si="32"/>
        <v>-1.7910817240382775</v>
      </c>
      <c r="P91" s="95">
        <f t="shared" si="32"/>
        <v>-1.7487266522627269</v>
      </c>
      <c r="Q91" s="95">
        <f t="shared" si="32"/>
        <v>-1.7231322346030336</v>
      </c>
      <c r="R91" s="95">
        <f t="shared" si="32"/>
        <v>-1.6586483346523755</v>
      </c>
      <c r="S91" s="95">
        <f t="shared" si="32"/>
        <v>-1.5712514889115301</v>
      </c>
      <c r="T91" s="150">
        <f t="shared" si="32"/>
        <v>-1.9479170746824579</v>
      </c>
      <c r="U91" s="62">
        <f t="shared" si="32"/>
        <v>-11.356108091139788</v>
      </c>
      <c r="W91" s="40" t="s">
        <v>36</v>
      </c>
      <c r="X91" s="98">
        <f t="shared" si="21"/>
        <v>0</v>
      </c>
      <c r="Y91" s="99">
        <f t="shared" si="19"/>
        <v>-0.12708123146834852</v>
      </c>
      <c r="Z91" s="99">
        <f t="shared" si="19"/>
        <v>-0.23309254653109779</v>
      </c>
      <c r="AA91" s="99">
        <f t="shared" si="19"/>
        <v>-0.23399753317443178</v>
      </c>
      <c r="AB91" s="99">
        <f t="shared" si="19"/>
        <v>-0.23705194054468501</v>
      </c>
      <c r="AC91" s="99">
        <f t="shared" si="19"/>
        <v>-0.23558299116317125</v>
      </c>
      <c r="AD91" s="99">
        <f t="shared" si="19"/>
        <v>-0.22989919235332359</v>
      </c>
      <c r="AE91" s="151">
        <f t="shared" si="19"/>
        <v>-0.2948798547123746</v>
      </c>
      <c r="AF91" s="126">
        <f t="shared" si="19"/>
        <v>-0.19286473128994824</v>
      </c>
    </row>
    <row r="92" spans="1:32">
      <c r="A92" s="63" t="s">
        <v>37</v>
      </c>
      <c r="B92" s="119">
        <v>4.8618140865749586</v>
      </c>
      <c r="C92" s="119">
        <v>4.8618140865749586</v>
      </c>
      <c r="D92" s="119">
        <v>4.8618140865749586</v>
      </c>
      <c r="E92" s="119">
        <v>4.8618140865749586</v>
      </c>
      <c r="F92" s="119">
        <v>4.8618140865749586</v>
      </c>
      <c r="G92" s="119">
        <v>4.8618140865749586</v>
      </c>
      <c r="H92" s="119">
        <v>4.8618140865749586</v>
      </c>
      <c r="I92" s="119">
        <v>4.8618140865749586</v>
      </c>
      <c r="J92" s="64">
        <f>SUM(B92:I92)</f>
        <v>38.894512692599669</v>
      </c>
      <c r="K92" s="61"/>
      <c r="L92" s="63" t="s">
        <v>37</v>
      </c>
      <c r="M92" s="96">
        <f t="shared" si="32"/>
        <v>0</v>
      </c>
      <c r="N92" s="119">
        <f t="shared" si="32"/>
        <v>7.9185913425041221E-2</v>
      </c>
      <c r="O92" s="119">
        <f t="shared" si="32"/>
        <v>2.0072024280910501</v>
      </c>
      <c r="P92" s="119">
        <f t="shared" si="32"/>
        <v>2.0072024280910483</v>
      </c>
      <c r="Q92" s="119">
        <f t="shared" si="32"/>
        <v>2.0072024280910501</v>
      </c>
      <c r="R92" s="119">
        <f t="shared" si="32"/>
        <v>2.0072024280910501</v>
      </c>
      <c r="S92" s="119">
        <f t="shared" si="32"/>
        <v>2.0072024280910501</v>
      </c>
      <c r="T92" s="152">
        <f t="shared" si="32"/>
        <v>2.0072024280910483</v>
      </c>
      <c r="U92" s="64">
        <f t="shared" si="32"/>
        <v>12.12240048197134</v>
      </c>
      <c r="W92" s="63" t="s">
        <v>37</v>
      </c>
      <c r="X92" s="98">
        <f t="shared" si="21"/>
        <v>0</v>
      </c>
      <c r="Y92" s="122">
        <f t="shared" si="19"/>
        <v>1.6287318275641009E-2</v>
      </c>
      <c r="Z92" s="122">
        <f t="shared" si="19"/>
        <v>0.41285051060129702</v>
      </c>
      <c r="AA92" s="122">
        <f t="shared" si="19"/>
        <v>0.41285051060129663</v>
      </c>
      <c r="AB92" s="122">
        <f t="shared" si="19"/>
        <v>0.41285051060129702</v>
      </c>
      <c r="AC92" s="122">
        <f t="shared" si="19"/>
        <v>0.41285051060129702</v>
      </c>
      <c r="AD92" s="122">
        <f t="shared" si="19"/>
        <v>0.41285051060129702</v>
      </c>
      <c r="AE92" s="153">
        <f t="shared" si="19"/>
        <v>0.41285051060129663</v>
      </c>
      <c r="AF92" s="154">
        <f t="shared" si="19"/>
        <v>0.31167379773542786</v>
      </c>
    </row>
    <row r="93" spans="1:32">
      <c r="A93" s="65" t="s">
        <v>38</v>
      </c>
      <c r="B93" s="68">
        <f t="shared" ref="B93:J93" si="33">SUM(B89:B92)</f>
        <v>67.341121688045774</v>
      </c>
      <c r="C93" s="68">
        <f t="shared" si="33"/>
        <v>69.013636057815077</v>
      </c>
      <c r="D93" s="68">
        <f t="shared" si="33"/>
        <v>69.835293605784756</v>
      </c>
      <c r="E93" s="68">
        <f t="shared" si="33"/>
        <v>70.39242380990315</v>
      </c>
      <c r="F93" s="68">
        <f t="shared" si="33"/>
        <v>73.270426730591097</v>
      </c>
      <c r="G93" s="68">
        <f t="shared" si="33"/>
        <v>70.761583392011005</v>
      </c>
      <c r="H93" s="68">
        <f t="shared" si="33"/>
        <v>70.251916040369508</v>
      </c>
      <c r="I93" s="68">
        <f t="shared" si="33"/>
        <v>69.664504364116098</v>
      </c>
      <c r="J93" s="68">
        <f t="shared" si="33"/>
        <v>560.53090568863661</v>
      </c>
      <c r="K93" s="61"/>
      <c r="L93" s="65" t="s">
        <v>38</v>
      </c>
      <c r="M93" s="155">
        <f t="shared" si="32"/>
        <v>0</v>
      </c>
      <c r="N93" s="68">
        <f t="shared" si="32"/>
        <v>-0.89810883154719079</v>
      </c>
      <c r="O93" s="66">
        <f t="shared" si="32"/>
        <v>-0.13731692524389416</v>
      </c>
      <c r="P93" s="67">
        <f t="shared" si="32"/>
        <v>-0.87674491950437528</v>
      </c>
      <c r="Q93" s="67">
        <f t="shared" si="32"/>
        <v>-0.84050880106133263</v>
      </c>
      <c r="R93" s="67">
        <f t="shared" si="32"/>
        <v>-1.4975262636381359</v>
      </c>
      <c r="S93" s="67">
        <f t="shared" si="32"/>
        <v>-1.4760462987482441</v>
      </c>
      <c r="T93" s="67">
        <f t="shared" si="32"/>
        <v>-1.8141061249655905</v>
      </c>
      <c r="U93" s="68">
        <f t="shared" si="32"/>
        <v>-7.5403581647088913</v>
      </c>
      <c r="W93" s="65" t="s">
        <v>38</v>
      </c>
      <c r="X93" s="149">
        <f t="shared" si="21"/>
        <v>0</v>
      </c>
      <c r="Y93" s="156">
        <f t="shared" si="19"/>
        <v>-1.3013498242504052E-2</v>
      </c>
      <c r="Z93" s="157">
        <f t="shared" si="19"/>
        <v>-1.9662969560783751E-3</v>
      </c>
      <c r="AA93" s="158">
        <f t="shared" si="19"/>
        <v>-1.2455103433745245E-2</v>
      </c>
      <c r="AB93" s="158">
        <f t="shared" si="19"/>
        <v>-1.147132395109161E-2</v>
      </c>
      <c r="AC93" s="158">
        <f t="shared" si="19"/>
        <v>-2.116298409183431E-2</v>
      </c>
      <c r="AD93" s="158">
        <f t="shared" si="19"/>
        <v>-2.1010762153448596E-2</v>
      </c>
      <c r="AE93" s="158">
        <f t="shared" si="19"/>
        <v>-2.6040609080971645E-2</v>
      </c>
      <c r="AF93" s="156">
        <f t="shared" ref="AF93:AF94" si="34">U93/J93</f>
        <v>-1.3452172017964349E-2</v>
      </c>
    </row>
    <row r="94" spans="1:32" ht="25.5">
      <c r="A94" s="65" t="s">
        <v>39</v>
      </c>
      <c r="B94" s="60">
        <f t="shared" ref="B94:J94" si="35">+B93+B87</f>
        <v>280.64192047816886</v>
      </c>
      <c r="C94" s="60">
        <f t="shared" si="35"/>
        <v>281.58701216915898</v>
      </c>
      <c r="D94" s="60">
        <f t="shared" si="35"/>
        <v>284.92879711828664</v>
      </c>
      <c r="E94" s="60">
        <f t="shared" si="35"/>
        <v>282.94435808530437</v>
      </c>
      <c r="F94" s="60">
        <f t="shared" si="35"/>
        <v>279.03810567347654</v>
      </c>
      <c r="G94" s="60">
        <f t="shared" si="35"/>
        <v>276.80251616080449</v>
      </c>
      <c r="H94" s="60">
        <f t="shared" si="35"/>
        <v>273.56838560436114</v>
      </c>
      <c r="I94" s="60">
        <f t="shared" si="35"/>
        <v>272.10136794140317</v>
      </c>
      <c r="J94" s="60">
        <f t="shared" si="35"/>
        <v>2231.6124632309643</v>
      </c>
      <c r="K94" s="61"/>
      <c r="L94" s="65" t="s">
        <v>39</v>
      </c>
      <c r="M94" s="155">
        <f t="shared" si="32"/>
        <v>0</v>
      </c>
      <c r="N94" s="60">
        <f t="shared" si="32"/>
        <v>13.75751505710889</v>
      </c>
      <c r="O94" s="60">
        <f t="shared" si="32"/>
        <v>15.656802775746769</v>
      </c>
      <c r="P94" s="60">
        <f t="shared" si="32"/>
        <v>5.4393599720812063</v>
      </c>
      <c r="Q94" s="60">
        <f t="shared" si="32"/>
        <v>0.40526823729607031</v>
      </c>
      <c r="R94" s="60">
        <f t="shared" si="32"/>
        <v>-2.2557085580108946</v>
      </c>
      <c r="S94" s="60">
        <f t="shared" si="32"/>
        <v>-3.7662724967033228</v>
      </c>
      <c r="T94" s="60">
        <f t="shared" si="32"/>
        <v>-5.0286458547435586</v>
      </c>
      <c r="U94" s="60">
        <f t="shared" si="32"/>
        <v>24.208319132775159</v>
      </c>
      <c r="W94" s="65" t="s">
        <v>39</v>
      </c>
      <c r="X94" s="149">
        <f t="shared" si="21"/>
        <v>0</v>
      </c>
      <c r="Y94" s="149">
        <f t="shared" si="21"/>
        <v>4.8857065356566511E-2</v>
      </c>
      <c r="Z94" s="149">
        <f t="shared" si="21"/>
        <v>5.4949878475242124E-2</v>
      </c>
      <c r="AA94" s="149">
        <f t="shared" si="21"/>
        <v>1.9224133002296175E-2</v>
      </c>
      <c r="AB94" s="149">
        <f t="shared" si="21"/>
        <v>1.4523759624798527E-3</v>
      </c>
      <c r="AC94" s="149">
        <f t="shared" si="21"/>
        <v>-8.1491620426617541E-3</v>
      </c>
      <c r="AD94" s="149">
        <f t="shared" si="21"/>
        <v>-1.3767206647006956E-2</v>
      </c>
      <c r="AE94" s="149">
        <f t="shared" si="21"/>
        <v>-1.8480781235272855E-2</v>
      </c>
      <c r="AF94" s="149">
        <f t="shared" si="34"/>
        <v>1.084790461231157E-2</v>
      </c>
    </row>
    <row r="95" spans="1:32">
      <c r="B95" s="61"/>
      <c r="C95" s="61"/>
      <c r="D95" s="70"/>
      <c r="E95" s="61"/>
      <c r="F95" s="61"/>
      <c r="G95" s="61"/>
      <c r="H95" s="61"/>
      <c r="I95" s="61"/>
      <c r="J95" s="61"/>
      <c r="K95" s="61"/>
      <c r="M95" s="69"/>
      <c r="N95" s="61"/>
      <c r="O95" s="70"/>
      <c r="P95" s="61"/>
      <c r="Q95" s="61"/>
      <c r="R95" s="61"/>
      <c r="S95" s="61"/>
      <c r="T95" s="61"/>
      <c r="U95" s="61"/>
      <c r="X95" s="69"/>
      <c r="Y95" s="61"/>
      <c r="Z95" s="70"/>
      <c r="AA95" s="61"/>
      <c r="AB95" s="61"/>
      <c r="AC95" s="61"/>
      <c r="AD95" s="61"/>
      <c r="AE95" s="61"/>
      <c r="AF95" s="61"/>
    </row>
    <row r="96" spans="1:32">
      <c r="A96" s="159" t="s">
        <v>40</v>
      </c>
      <c r="B96" s="160"/>
      <c r="C96" s="160"/>
      <c r="D96" s="160"/>
      <c r="E96" s="160"/>
      <c r="F96" s="160"/>
      <c r="G96" s="160"/>
      <c r="H96" s="160"/>
      <c r="I96" s="160"/>
      <c r="J96" s="161"/>
      <c r="K96" s="61"/>
      <c r="L96" s="159" t="s">
        <v>40</v>
      </c>
      <c r="M96" s="72"/>
      <c r="N96" s="160"/>
      <c r="O96" s="160"/>
      <c r="P96" s="160"/>
      <c r="Q96" s="160"/>
      <c r="R96" s="160"/>
      <c r="S96" s="160"/>
      <c r="T96" s="160"/>
      <c r="U96" s="161"/>
      <c r="W96" s="159" t="s">
        <v>40</v>
      </c>
      <c r="X96" s="72"/>
      <c r="Y96" s="160"/>
      <c r="Z96" s="160"/>
      <c r="AA96" s="160"/>
      <c r="AB96" s="160"/>
      <c r="AC96" s="160"/>
      <c r="AD96" s="160"/>
      <c r="AE96" s="160"/>
      <c r="AF96" s="161"/>
    </row>
    <row r="97" spans="1:32">
      <c r="A97" s="162" t="s">
        <v>41</v>
      </c>
      <c r="B97" s="163">
        <v>0</v>
      </c>
      <c r="C97" s="163">
        <v>0</v>
      </c>
      <c r="D97" s="163">
        <v>0</v>
      </c>
      <c r="E97" s="163">
        <v>0</v>
      </c>
      <c r="F97" s="163">
        <v>0</v>
      </c>
      <c r="G97" s="163">
        <v>0</v>
      </c>
      <c r="H97" s="163">
        <v>0</v>
      </c>
      <c r="I97" s="163">
        <v>0</v>
      </c>
      <c r="J97" s="164">
        <f>SUM(B97:I97)</f>
        <v>0</v>
      </c>
      <c r="K97" s="61"/>
      <c r="L97" s="162" t="s">
        <v>41</v>
      </c>
      <c r="M97" s="163">
        <f t="shared" ref="M97:U102" si="36">B47-B97</f>
        <v>0</v>
      </c>
      <c r="N97" s="163">
        <f t="shared" si="36"/>
        <v>0</v>
      </c>
      <c r="O97" s="163">
        <f t="shared" si="36"/>
        <v>0</v>
      </c>
      <c r="P97" s="163">
        <f t="shared" si="36"/>
        <v>0</v>
      </c>
      <c r="Q97" s="163">
        <f t="shared" si="36"/>
        <v>0</v>
      </c>
      <c r="R97" s="163">
        <f t="shared" si="36"/>
        <v>0</v>
      </c>
      <c r="S97" s="163">
        <f t="shared" si="36"/>
        <v>0</v>
      </c>
      <c r="T97" s="163">
        <f t="shared" si="36"/>
        <v>0</v>
      </c>
      <c r="U97" s="164">
        <f t="shared" si="36"/>
        <v>0</v>
      </c>
      <c r="W97" s="162" t="s">
        <v>41</v>
      </c>
      <c r="X97" s="163" t="e">
        <f t="shared" ref="X97:AF102" si="37">M97/B97</f>
        <v>#DIV/0!</v>
      </c>
      <c r="Y97" s="163" t="e">
        <f t="shared" si="37"/>
        <v>#DIV/0!</v>
      </c>
      <c r="Z97" s="163" t="e">
        <f t="shared" si="37"/>
        <v>#DIV/0!</v>
      </c>
      <c r="AA97" s="163" t="e">
        <f t="shared" si="37"/>
        <v>#DIV/0!</v>
      </c>
      <c r="AB97" s="163" t="e">
        <f t="shared" si="37"/>
        <v>#DIV/0!</v>
      </c>
      <c r="AC97" s="163" t="e">
        <f t="shared" si="37"/>
        <v>#DIV/0!</v>
      </c>
      <c r="AD97" s="163" t="e">
        <f t="shared" si="37"/>
        <v>#DIV/0!</v>
      </c>
      <c r="AE97" s="163" t="e">
        <f t="shared" si="37"/>
        <v>#DIV/0!</v>
      </c>
      <c r="AF97" s="164" t="e">
        <f t="shared" si="37"/>
        <v>#DIV/0!</v>
      </c>
    </row>
    <row r="98" spans="1:32">
      <c r="A98" s="162" t="s">
        <v>42</v>
      </c>
      <c r="B98" s="165">
        <v>0.15968582675924622</v>
      </c>
      <c r="C98" s="165">
        <v>0</v>
      </c>
      <c r="D98" s="165">
        <v>0</v>
      </c>
      <c r="E98" s="165">
        <v>0</v>
      </c>
      <c r="F98" s="165">
        <v>0</v>
      </c>
      <c r="G98" s="165">
        <v>0</v>
      </c>
      <c r="H98" s="165">
        <v>0</v>
      </c>
      <c r="I98" s="165">
        <v>0</v>
      </c>
      <c r="J98" s="166">
        <f>SUM(B98:I98)</f>
        <v>0.15968582675924622</v>
      </c>
      <c r="K98" s="61"/>
      <c r="L98" s="162" t="s">
        <v>42</v>
      </c>
      <c r="M98" s="165">
        <f t="shared" si="36"/>
        <v>0</v>
      </c>
      <c r="N98" s="165">
        <f t="shared" si="36"/>
        <v>1.7809999999999999</v>
      </c>
      <c r="O98" s="165">
        <f t="shared" si="36"/>
        <v>1.7809999999999999</v>
      </c>
      <c r="P98" s="165">
        <f t="shared" si="36"/>
        <v>1.7809999999999999</v>
      </c>
      <c r="Q98" s="165">
        <f t="shared" si="36"/>
        <v>1.7809999999999999</v>
      </c>
      <c r="R98" s="165">
        <f t="shared" si="36"/>
        <v>1.7809999999999999</v>
      </c>
      <c r="S98" s="165">
        <f t="shared" si="36"/>
        <v>1.7809999999999999</v>
      </c>
      <c r="T98" s="165">
        <f t="shared" si="36"/>
        <v>1.7809999999999999</v>
      </c>
      <c r="U98" s="166">
        <f t="shared" si="36"/>
        <v>12.467000000000001</v>
      </c>
      <c r="W98" s="162" t="s">
        <v>42</v>
      </c>
      <c r="X98" s="165">
        <f t="shared" si="37"/>
        <v>0</v>
      </c>
      <c r="Y98" s="165" t="e">
        <f t="shared" si="37"/>
        <v>#DIV/0!</v>
      </c>
      <c r="Z98" s="165" t="e">
        <f t="shared" si="37"/>
        <v>#DIV/0!</v>
      </c>
      <c r="AA98" s="165" t="e">
        <f t="shared" si="37"/>
        <v>#DIV/0!</v>
      </c>
      <c r="AB98" s="165" t="e">
        <f t="shared" si="37"/>
        <v>#DIV/0!</v>
      </c>
      <c r="AC98" s="165" t="e">
        <f t="shared" si="37"/>
        <v>#DIV/0!</v>
      </c>
      <c r="AD98" s="165" t="e">
        <f t="shared" si="37"/>
        <v>#DIV/0!</v>
      </c>
      <c r="AE98" s="165" t="e">
        <f t="shared" si="37"/>
        <v>#DIV/0!</v>
      </c>
      <c r="AF98" s="166">
        <f t="shared" si="37"/>
        <v>78.072050932836646</v>
      </c>
    </row>
    <row r="99" spans="1:32">
      <c r="A99" s="162" t="s">
        <v>43</v>
      </c>
      <c r="B99" s="165">
        <v>0</v>
      </c>
      <c r="C99" s="165">
        <v>0</v>
      </c>
      <c r="D99" s="165">
        <v>0</v>
      </c>
      <c r="E99" s="165">
        <v>0</v>
      </c>
      <c r="F99" s="165">
        <v>0</v>
      </c>
      <c r="G99" s="165">
        <v>0</v>
      </c>
      <c r="H99" s="165">
        <v>0</v>
      </c>
      <c r="I99" s="165">
        <v>0</v>
      </c>
      <c r="J99" s="166">
        <f>SUM(B99:I99)</f>
        <v>0</v>
      </c>
      <c r="K99" s="61"/>
      <c r="L99" s="162" t="s">
        <v>43</v>
      </c>
      <c r="M99" s="165">
        <f t="shared" si="36"/>
        <v>0</v>
      </c>
      <c r="N99" s="165">
        <f t="shared" si="36"/>
        <v>0</v>
      </c>
      <c r="O99" s="165">
        <f t="shared" si="36"/>
        <v>0</v>
      </c>
      <c r="P99" s="165">
        <f t="shared" si="36"/>
        <v>0</v>
      </c>
      <c r="Q99" s="165">
        <f t="shared" si="36"/>
        <v>3</v>
      </c>
      <c r="R99" s="165">
        <f t="shared" si="36"/>
        <v>0</v>
      </c>
      <c r="S99" s="165">
        <f t="shared" si="36"/>
        <v>0</v>
      </c>
      <c r="T99" s="165">
        <f t="shared" si="36"/>
        <v>0</v>
      </c>
      <c r="U99" s="166">
        <f t="shared" si="36"/>
        <v>3</v>
      </c>
      <c r="W99" s="162" t="s">
        <v>43</v>
      </c>
      <c r="X99" s="165" t="e">
        <f t="shared" si="37"/>
        <v>#DIV/0!</v>
      </c>
      <c r="Y99" s="165" t="e">
        <f t="shared" si="37"/>
        <v>#DIV/0!</v>
      </c>
      <c r="Z99" s="165" t="e">
        <f t="shared" si="37"/>
        <v>#DIV/0!</v>
      </c>
      <c r="AA99" s="165" t="e">
        <f t="shared" si="37"/>
        <v>#DIV/0!</v>
      </c>
      <c r="AB99" s="165" t="e">
        <f t="shared" si="37"/>
        <v>#DIV/0!</v>
      </c>
      <c r="AC99" s="165" t="e">
        <f t="shared" si="37"/>
        <v>#DIV/0!</v>
      </c>
      <c r="AD99" s="165" t="e">
        <f t="shared" si="37"/>
        <v>#DIV/0!</v>
      </c>
      <c r="AE99" s="165" t="e">
        <f t="shared" si="37"/>
        <v>#DIV/0!</v>
      </c>
      <c r="AF99" s="166" t="e">
        <f t="shared" si="37"/>
        <v>#DIV/0!</v>
      </c>
    </row>
    <row r="100" spans="1:32">
      <c r="A100" s="40" t="s">
        <v>22</v>
      </c>
      <c r="B100" s="165">
        <v>0</v>
      </c>
      <c r="C100" s="165">
        <v>0</v>
      </c>
      <c r="D100" s="165">
        <v>0</v>
      </c>
      <c r="E100" s="165">
        <v>0</v>
      </c>
      <c r="F100" s="165">
        <v>0</v>
      </c>
      <c r="G100" s="165">
        <v>0</v>
      </c>
      <c r="H100" s="165">
        <v>0</v>
      </c>
      <c r="I100" s="165">
        <v>0</v>
      </c>
      <c r="J100" s="166">
        <f>SUM(B100:I100)</f>
        <v>0</v>
      </c>
      <c r="K100" s="61"/>
      <c r="L100" s="167" t="s">
        <v>22</v>
      </c>
      <c r="M100" s="165">
        <f t="shared" si="36"/>
        <v>0</v>
      </c>
      <c r="N100" s="165">
        <f t="shared" si="36"/>
        <v>0</v>
      </c>
      <c r="O100" s="165">
        <f t="shared" si="36"/>
        <v>0</v>
      </c>
      <c r="P100" s="165">
        <f t="shared" si="36"/>
        <v>0</v>
      </c>
      <c r="Q100" s="165">
        <f t="shared" si="36"/>
        <v>0</v>
      </c>
      <c r="R100" s="165">
        <f t="shared" si="36"/>
        <v>0</v>
      </c>
      <c r="S100" s="165">
        <f t="shared" si="36"/>
        <v>0</v>
      </c>
      <c r="T100" s="165">
        <f t="shared" si="36"/>
        <v>0</v>
      </c>
      <c r="U100" s="166">
        <f t="shared" si="36"/>
        <v>0</v>
      </c>
      <c r="W100" s="167" t="s">
        <v>22</v>
      </c>
      <c r="X100" s="165" t="e">
        <f t="shared" si="37"/>
        <v>#DIV/0!</v>
      </c>
      <c r="Y100" s="165" t="e">
        <f t="shared" si="37"/>
        <v>#DIV/0!</v>
      </c>
      <c r="Z100" s="165" t="e">
        <f t="shared" si="37"/>
        <v>#DIV/0!</v>
      </c>
      <c r="AA100" s="165" t="e">
        <f t="shared" si="37"/>
        <v>#DIV/0!</v>
      </c>
      <c r="AB100" s="165" t="e">
        <f t="shared" si="37"/>
        <v>#DIV/0!</v>
      </c>
      <c r="AC100" s="165" t="e">
        <f t="shared" si="37"/>
        <v>#DIV/0!</v>
      </c>
      <c r="AD100" s="165" t="e">
        <f t="shared" si="37"/>
        <v>#DIV/0!</v>
      </c>
      <c r="AE100" s="165" t="e">
        <f t="shared" si="37"/>
        <v>#DIV/0!</v>
      </c>
      <c r="AF100" s="166" t="e">
        <f t="shared" si="37"/>
        <v>#DIV/0!</v>
      </c>
    </row>
    <row r="101" spans="1:32">
      <c r="A101" s="167" t="s">
        <v>44</v>
      </c>
      <c r="B101" s="168">
        <v>0</v>
      </c>
      <c r="C101" s="168">
        <v>0</v>
      </c>
      <c r="D101" s="168">
        <v>0</v>
      </c>
      <c r="E101" s="168">
        <v>0</v>
      </c>
      <c r="F101" s="168">
        <v>0</v>
      </c>
      <c r="G101" s="168">
        <v>0</v>
      </c>
      <c r="H101" s="168">
        <v>0</v>
      </c>
      <c r="I101" s="168">
        <v>0</v>
      </c>
      <c r="J101" s="169"/>
      <c r="K101" s="61"/>
      <c r="L101" s="167" t="s">
        <v>44</v>
      </c>
      <c r="M101" s="165">
        <f t="shared" si="36"/>
        <v>0</v>
      </c>
      <c r="N101" s="165">
        <f>C51-C101</f>
        <v>0</v>
      </c>
      <c r="O101" s="165">
        <f t="shared" si="36"/>
        <v>0</v>
      </c>
      <c r="P101" s="165">
        <f>E51-E101</f>
        <v>0</v>
      </c>
      <c r="Q101" s="165">
        <f t="shared" si="36"/>
        <v>0</v>
      </c>
      <c r="R101" s="165">
        <f t="shared" si="36"/>
        <v>0</v>
      </c>
      <c r="S101" s="165">
        <f t="shared" si="36"/>
        <v>0</v>
      </c>
      <c r="T101" s="165">
        <f t="shared" si="36"/>
        <v>0</v>
      </c>
      <c r="U101" s="166">
        <f t="shared" si="36"/>
        <v>0</v>
      </c>
      <c r="W101" s="167" t="s">
        <v>44</v>
      </c>
      <c r="X101" s="165" t="e">
        <f t="shared" si="37"/>
        <v>#DIV/0!</v>
      </c>
      <c r="Y101" s="165" t="e">
        <f t="shared" si="37"/>
        <v>#DIV/0!</v>
      </c>
      <c r="Z101" s="165" t="e">
        <f t="shared" si="37"/>
        <v>#DIV/0!</v>
      </c>
      <c r="AA101" s="165" t="e">
        <f t="shared" si="37"/>
        <v>#DIV/0!</v>
      </c>
      <c r="AB101" s="165" t="e">
        <f t="shared" si="37"/>
        <v>#DIV/0!</v>
      </c>
      <c r="AC101" s="165" t="e">
        <f t="shared" si="37"/>
        <v>#DIV/0!</v>
      </c>
      <c r="AD101" s="165" t="e">
        <f t="shared" si="37"/>
        <v>#DIV/0!</v>
      </c>
      <c r="AE101" s="165" t="e">
        <f t="shared" si="37"/>
        <v>#DIV/0!</v>
      </c>
      <c r="AF101" s="166" t="e">
        <f t="shared" si="37"/>
        <v>#DIV/0!</v>
      </c>
    </row>
    <row r="102" spans="1:32">
      <c r="A102" s="170" t="s">
        <v>45</v>
      </c>
      <c r="B102" s="171">
        <f t="shared" ref="B102:J102" si="38">SUM(B97:B101)</f>
        <v>0.15968582675924622</v>
      </c>
      <c r="C102" s="171">
        <f t="shared" si="38"/>
        <v>0</v>
      </c>
      <c r="D102" s="171">
        <f t="shared" si="38"/>
        <v>0</v>
      </c>
      <c r="E102" s="171">
        <f t="shared" si="38"/>
        <v>0</v>
      </c>
      <c r="F102" s="171">
        <f t="shared" si="38"/>
        <v>0</v>
      </c>
      <c r="G102" s="171">
        <f t="shared" si="38"/>
        <v>0</v>
      </c>
      <c r="H102" s="171">
        <f t="shared" si="38"/>
        <v>0</v>
      </c>
      <c r="I102" s="171">
        <f t="shared" si="38"/>
        <v>0</v>
      </c>
      <c r="J102" s="171">
        <f t="shared" si="38"/>
        <v>0.15968582675924622</v>
      </c>
      <c r="K102" s="61"/>
      <c r="L102" s="170" t="s">
        <v>45</v>
      </c>
      <c r="M102" s="172">
        <f t="shared" si="36"/>
        <v>0</v>
      </c>
      <c r="N102" s="173">
        <f t="shared" si="36"/>
        <v>1.7809999999999999</v>
      </c>
      <c r="O102" s="174">
        <f t="shared" si="36"/>
        <v>1.7809999999999999</v>
      </c>
      <c r="P102" s="173">
        <f t="shared" si="36"/>
        <v>1.7809999999999999</v>
      </c>
      <c r="Q102" s="173">
        <f t="shared" si="36"/>
        <v>4.7809999999999997</v>
      </c>
      <c r="R102" s="173">
        <f t="shared" si="36"/>
        <v>1.7809999999999999</v>
      </c>
      <c r="S102" s="173">
        <f t="shared" si="36"/>
        <v>1.7809999999999999</v>
      </c>
      <c r="T102" s="173">
        <f t="shared" si="36"/>
        <v>1.7809999999999999</v>
      </c>
      <c r="U102" s="173">
        <f t="shared" si="36"/>
        <v>15.467000000000001</v>
      </c>
      <c r="W102" s="170" t="s">
        <v>45</v>
      </c>
      <c r="X102" s="172">
        <f t="shared" si="37"/>
        <v>0</v>
      </c>
      <c r="Y102" s="173" t="e">
        <f t="shared" si="37"/>
        <v>#DIV/0!</v>
      </c>
      <c r="Z102" s="174" t="e">
        <f t="shared" si="37"/>
        <v>#DIV/0!</v>
      </c>
      <c r="AA102" s="173" t="e">
        <f t="shared" si="37"/>
        <v>#DIV/0!</v>
      </c>
      <c r="AB102" s="173" t="e">
        <f t="shared" si="37"/>
        <v>#DIV/0!</v>
      </c>
      <c r="AC102" s="173" t="e">
        <f t="shared" si="37"/>
        <v>#DIV/0!</v>
      </c>
      <c r="AD102" s="173" t="e">
        <f t="shared" si="37"/>
        <v>#DIV/0!</v>
      </c>
      <c r="AE102" s="173" t="e">
        <f t="shared" si="37"/>
        <v>#DIV/0!</v>
      </c>
      <c r="AF102" s="173">
        <f t="shared" si="37"/>
        <v>96.858940545294331</v>
      </c>
    </row>
    <row r="103" spans="1:32">
      <c r="A103" s="81"/>
      <c r="B103" s="83"/>
      <c r="C103" s="83"/>
      <c r="D103" s="84"/>
      <c r="E103" s="83"/>
      <c r="F103" s="83"/>
      <c r="G103" s="83"/>
      <c r="H103" s="83"/>
      <c r="I103" s="83"/>
      <c r="J103" s="83"/>
      <c r="K103" s="61"/>
      <c r="L103" s="81"/>
      <c r="M103" s="82"/>
      <c r="N103" s="83"/>
      <c r="O103" s="84"/>
      <c r="P103" s="83"/>
      <c r="Q103" s="83"/>
      <c r="R103" s="83"/>
      <c r="S103" s="83"/>
      <c r="T103" s="83"/>
      <c r="U103" s="83"/>
      <c r="W103" s="81"/>
      <c r="X103" s="82"/>
      <c r="Y103" s="83"/>
      <c r="Z103" s="84"/>
      <c r="AA103" s="83"/>
      <c r="AB103" s="83"/>
      <c r="AC103" s="83"/>
      <c r="AD103" s="83"/>
      <c r="AE103" s="83"/>
      <c r="AF103" s="83"/>
    </row>
    <row r="104" spans="1:32" ht="25.5">
      <c r="A104" s="175" t="s">
        <v>46</v>
      </c>
      <c r="B104" s="176">
        <f t="shared" ref="B104:I104" si="39">+B94-B102</f>
        <v>280.48223465140961</v>
      </c>
      <c r="C104" s="176">
        <f t="shared" si="39"/>
        <v>281.58701216915898</v>
      </c>
      <c r="D104" s="176">
        <f t="shared" si="39"/>
        <v>284.92879711828664</v>
      </c>
      <c r="E104" s="176">
        <f t="shared" si="39"/>
        <v>282.94435808530437</v>
      </c>
      <c r="F104" s="176">
        <f t="shared" si="39"/>
        <v>279.03810567347654</v>
      </c>
      <c r="G104" s="176">
        <f t="shared" si="39"/>
        <v>276.80251616080449</v>
      </c>
      <c r="H104" s="176">
        <f t="shared" si="39"/>
        <v>273.56838560436114</v>
      </c>
      <c r="I104" s="176">
        <f t="shared" si="39"/>
        <v>272.10136794140317</v>
      </c>
      <c r="J104" s="176">
        <f>SUM(B104:I104)</f>
        <v>2231.4527774042053</v>
      </c>
      <c r="K104" s="61"/>
      <c r="L104" s="175" t="s">
        <v>46</v>
      </c>
      <c r="M104" s="176">
        <f t="shared" ref="M104:U104" si="40">B54-B104</f>
        <v>0</v>
      </c>
      <c r="N104" s="176">
        <f t="shared" si="40"/>
        <v>11.976515057108884</v>
      </c>
      <c r="O104" s="176">
        <f t="shared" si="40"/>
        <v>13.875802775746763</v>
      </c>
      <c r="P104" s="176">
        <f t="shared" si="40"/>
        <v>3.6583599720812003</v>
      </c>
      <c r="Q104" s="176">
        <f t="shared" si="40"/>
        <v>-4.3757317627039356</v>
      </c>
      <c r="R104" s="176">
        <f t="shared" si="40"/>
        <v>-4.0367085580109006</v>
      </c>
      <c r="S104" s="176">
        <f t="shared" si="40"/>
        <v>-5.5472724967033287</v>
      </c>
      <c r="T104" s="176">
        <f t="shared" si="40"/>
        <v>-6.8096458547435645</v>
      </c>
      <c r="U104" s="176">
        <f t="shared" si="40"/>
        <v>8.7413191327746063</v>
      </c>
      <c r="W104" s="175" t="s">
        <v>46</v>
      </c>
      <c r="X104" s="176">
        <f t="shared" ref="X104:AF104" si="41">M104/B104</f>
        <v>0</v>
      </c>
      <c r="Y104" s="176">
        <f t="shared" si="41"/>
        <v>4.2532199780273179E-2</v>
      </c>
      <c r="Z104" s="176">
        <f t="shared" si="41"/>
        <v>4.8699194030522294E-2</v>
      </c>
      <c r="AA104" s="176">
        <f t="shared" si="41"/>
        <v>1.2929609188313443E-2</v>
      </c>
      <c r="AB104" s="176">
        <f t="shared" si="41"/>
        <v>-1.5681484620685852E-2</v>
      </c>
      <c r="AC104" s="176">
        <f t="shared" si="41"/>
        <v>-1.4583352109652906E-2</v>
      </c>
      <c r="AD104" s="176">
        <f t="shared" si="41"/>
        <v>-2.0277461828962506E-2</v>
      </c>
      <c r="AE104" s="176">
        <f t="shared" si="41"/>
        <v>-2.5026136054597185E-2</v>
      </c>
      <c r="AF104" s="176">
        <f t="shared" si="41"/>
        <v>3.9173220340083421E-3</v>
      </c>
    </row>
    <row r="105" spans="1:32">
      <c r="B105" s="69">
        <v>0</v>
      </c>
      <c r="C105" s="69">
        <v>5.6843418860808015E-14</v>
      </c>
      <c r="D105" s="69">
        <v>5.6843418860808015E-14</v>
      </c>
      <c r="E105" s="69">
        <v>0</v>
      </c>
      <c r="F105" s="69">
        <v>0</v>
      </c>
      <c r="G105" s="69">
        <v>5.6843418860808015E-14</v>
      </c>
      <c r="H105" s="69">
        <v>-5.6843418860808015E-14</v>
      </c>
      <c r="I105" s="69">
        <v>5.6843418860808015E-14</v>
      </c>
      <c r="J105" s="69">
        <v>9.0949470177292824E-13</v>
      </c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</row>
    <row r="106" spans="1:32">
      <c r="B106" s="69"/>
      <c r="C106" s="61"/>
      <c r="D106" s="70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</row>
    <row r="107" spans="1:32">
      <c r="A107" s="8" t="s">
        <v>53</v>
      </c>
      <c r="B107" s="69"/>
      <c r="C107" s="61"/>
      <c r="D107" s="70"/>
      <c r="E107" s="61"/>
      <c r="F107" s="61"/>
      <c r="G107" s="61"/>
      <c r="H107" s="61"/>
      <c r="I107" s="61"/>
      <c r="J107" s="61"/>
      <c r="K107" s="61"/>
      <c r="L107" s="70" t="s">
        <v>54</v>
      </c>
      <c r="M107" s="61"/>
      <c r="N107" s="61"/>
      <c r="O107" s="70"/>
      <c r="P107" s="61"/>
      <c r="Q107" s="61"/>
      <c r="R107" s="61"/>
      <c r="S107" s="61"/>
      <c r="T107" s="61"/>
      <c r="U107" s="61"/>
      <c r="W107" s="8" t="s">
        <v>55</v>
      </c>
      <c r="Z107" s="8"/>
    </row>
    <row r="108" spans="1:32">
      <c r="A108" s="9" t="str">
        <f>$A$3&amp;" prices"</f>
        <v>2014/15 prices</v>
      </c>
      <c r="B108" s="69"/>
      <c r="C108" s="61"/>
      <c r="D108" s="70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70"/>
      <c r="P108" s="61"/>
      <c r="Q108" s="61"/>
      <c r="R108" s="61"/>
      <c r="S108" s="61"/>
      <c r="T108" s="61"/>
      <c r="U108" s="61"/>
      <c r="Z108" s="8"/>
    </row>
    <row r="109" spans="1:32">
      <c r="A109" s="10"/>
      <c r="B109" s="177"/>
      <c r="C109" s="178"/>
      <c r="D109" s="179"/>
      <c r="E109" s="178"/>
      <c r="F109" s="178"/>
      <c r="G109" s="178"/>
      <c r="H109" s="178"/>
      <c r="I109" s="178"/>
      <c r="J109" s="180"/>
      <c r="K109" s="61"/>
      <c r="L109" s="10"/>
      <c r="M109" s="177"/>
      <c r="N109" s="178"/>
      <c r="O109" s="179"/>
      <c r="P109" s="178"/>
      <c r="Q109" s="178"/>
      <c r="R109" s="178"/>
      <c r="S109" s="178"/>
      <c r="T109" s="178"/>
      <c r="U109" s="180"/>
      <c r="W109" s="10"/>
      <c r="X109" s="177"/>
      <c r="Y109" s="178"/>
      <c r="Z109" s="179"/>
      <c r="AA109" s="178"/>
      <c r="AB109" s="178"/>
      <c r="AC109" s="178"/>
      <c r="AD109" s="178"/>
      <c r="AE109" s="178"/>
      <c r="AF109" s="180"/>
    </row>
    <row r="110" spans="1:32">
      <c r="A110" s="12"/>
      <c r="B110" s="461" t="s">
        <v>56</v>
      </c>
      <c r="C110" s="462"/>
      <c r="D110" s="462"/>
      <c r="E110" s="462"/>
      <c r="F110" s="462"/>
      <c r="G110" s="462"/>
      <c r="H110" s="462"/>
      <c r="I110" s="462"/>
      <c r="J110" s="463"/>
      <c r="K110" s="61"/>
      <c r="L110" s="12"/>
      <c r="M110" s="461" t="s">
        <v>56</v>
      </c>
      <c r="N110" s="462"/>
      <c r="O110" s="462"/>
      <c r="P110" s="462"/>
      <c r="Q110" s="462"/>
      <c r="R110" s="462"/>
      <c r="S110" s="462"/>
      <c r="T110" s="462"/>
      <c r="U110" s="463"/>
      <c r="W110" s="12"/>
      <c r="X110" s="461" t="s">
        <v>56</v>
      </c>
      <c r="Y110" s="462"/>
      <c r="Z110" s="462"/>
      <c r="AA110" s="462"/>
      <c r="AB110" s="462"/>
      <c r="AC110" s="462"/>
      <c r="AD110" s="462"/>
      <c r="AE110" s="462"/>
      <c r="AF110" s="463"/>
    </row>
    <row r="111" spans="1:32" ht="25.5">
      <c r="A111" s="14" t="s">
        <v>4</v>
      </c>
      <c r="B111" s="15">
        <v>2014</v>
      </c>
      <c r="C111" s="16">
        <v>2015</v>
      </c>
      <c r="D111" s="16">
        <v>2016</v>
      </c>
      <c r="E111" s="17">
        <v>2017</v>
      </c>
      <c r="F111" s="16">
        <v>2018</v>
      </c>
      <c r="G111" s="17">
        <v>2019</v>
      </c>
      <c r="H111" s="16">
        <v>2020</v>
      </c>
      <c r="I111" s="18">
        <v>2021</v>
      </c>
      <c r="J111" s="19" t="s">
        <v>5</v>
      </c>
      <c r="K111" s="61"/>
      <c r="L111" s="14" t="s">
        <v>4</v>
      </c>
      <c r="M111" s="15">
        <v>2014</v>
      </c>
      <c r="N111" s="16">
        <v>2015</v>
      </c>
      <c r="O111" s="16">
        <v>2016</v>
      </c>
      <c r="P111" s="17">
        <v>2017</v>
      </c>
      <c r="Q111" s="16">
        <v>2018</v>
      </c>
      <c r="R111" s="17">
        <v>2019</v>
      </c>
      <c r="S111" s="16">
        <v>2020</v>
      </c>
      <c r="T111" s="18">
        <v>2021</v>
      </c>
      <c r="U111" s="19" t="s">
        <v>5</v>
      </c>
      <c r="W111" s="14" t="s">
        <v>4</v>
      </c>
      <c r="X111" s="15">
        <v>2014</v>
      </c>
      <c r="Y111" s="16">
        <v>2015</v>
      </c>
      <c r="Z111" s="16">
        <v>2016</v>
      </c>
      <c r="AA111" s="17">
        <v>2017</v>
      </c>
      <c r="AB111" s="16">
        <v>2018</v>
      </c>
      <c r="AC111" s="17">
        <v>2019</v>
      </c>
      <c r="AD111" s="16">
        <v>2020</v>
      </c>
      <c r="AE111" s="18">
        <v>2021</v>
      </c>
      <c r="AF111" s="19" t="s">
        <v>5</v>
      </c>
    </row>
    <row r="112" spans="1:32">
      <c r="A112" s="20" t="s">
        <v>6</v>
      </c>
      <c r="B112" s="21">
        <f t="shared" ref="B112:I135" si="42">+M153+M207</f>
        <v>12.460982453752486</v>
      </c>
      <c r="C112" s="88">
        <f t="shared" si="42"/>
        <v>13.327117373039075</v>
      </c>
      <c r="D112" s="88">
        <f t="shared" si="42"/>
        <v>21.45438020540443</v>
      </c>
      <c r="E112" s="88">
        <f t="shared" si="42"/>
        <v>17.803795063440074</v>
      </c>
      <c r="F112" s="88">
        <f t="shared" si="42"/>
        <v>15.123227140687018</v>
      </c>
      <c r="G112" s="88">
        <f t="shared" si="42"/>
        <v>15.42937646479974</v>
      </c>
      <c r="H112" s="88">
        <f t="shared" si="42"/>
        <v>12.179579661511308</v>
      </c>
      <c r="I112" s="90">
        <f t="shared" si="42"/>
        <v>12.666306055872141</v>
      </c>
      <c r="J112" s="23">
        <f>SUM(B112:I112)</f>
        <v>120.44476441850628</v>
      </c>
      <c r="K112" s="61"/>
      <c r="L112" s="20" t="s">
        <v>6</v>
      </c>
      <c r="M112" s="181">
        <f t="shared" ref="M112:U137" si="43">B12-B112</f>
        <v>-3.4198761840244831</v>
      </c>
      <c r="N112" s="182">
        <f t="shared" si="43"/>
        <v>1.6658826269609257</v>
      </c>
      <c r="O112" s="182">
        <f t="shared" si="43"/>
        <v>-5.3453754279178476</v>
      </c>
      <c r="P112" s="182">
        <f t="shared" si="43"/>
        <v>-2.7334090585243498</v>
      </c>
      <c r="Q112" s="182">
        <f t="shared" si="43"/>
        <v>-3.7321099091066259</v>
      </c>
      <c r="R112" s="182">
        <f t="shared" si="43"/>
        <v>-1.5568791164278259</v>
      </c>
      <c r="S112" s="182">
        <f t="shared" si="43"/>
        <v>1.2787398394772662</v>
      </c>
      <c r="T112" s="183">
        <f t="shared" si="43"/>
        <v>0.18806430122597284</v>
      </c>
      <c r="U112" s="184">
        <f t="shared" si="43"/>
        <v>-13.654962928336971</v>
      </c>
      <c r="W112" s="20" t="s">
        <v>6</v>
      </c>
      <c r="X112" s="185">
        <f t="shared" ref="X112:AF140" si="44">M112/B112</f>
        <v>-0.27444675383477696</v>
      </c>
      <c r="Y112" s="186">
        <f t="shared" si="44"/>
        <v>0.12499947140339794</v>
      </c>
      <c r="Z112" s="186">
        <f t="shared" si="44"/>
        <v>-0.24915077372271652</v>
      </c>
      <c r="AA112" s="186">
        <f t="shared" si="44"/>
        <v>-0.15352957326145478</v>
      </c>
      <c r="AB112" s="186">
        <f t="shared" si="44"/>
        <v>-0.24677999440118728</v>
      </c>
      <c r="AC112" s="186">
        <f t="shared" si="44"/>
        <v>-0.10090356664636822</v>
      </c>
      <c r="AD112" s="186">
        <f t="shared" si="44"/>
        <v>0.10499047381070237</v>
      </c>
      <c r="AE112" s="187">
        <f t="shared" si="44"/>
        <v>1.4847604376240824E-2</v>
      </c>
      <c r="AF112" s="188">
        <f t="shared" si="44"/>
        <v>-0.11337116224405096</v>
      </c>
    </row>
    <row r="113" spans="1:32">
      <c r="A113" s="20" t="s">
        <v>7</v>
      </c>
      <c r="B113" s="24">
        <f t="shared" si="42"/>
        <v>6.3579378896249814</v>
      </c>
      <c r="C113" s="95">
        <f t="shared" si="42"/>
        <v>6.2618953646832907</v>
      </c>
      <c r="D113" s="95">
        <f t="shared" si="42"/>
        <v>6.4421322184317091</v>
      </c>
      <c r="E113" s="95">
        <f t="shared" si="42"/>
        <v>6.4426079568978825</v>
      </c>
      <c r="F113" s="95">
        <f t="shared" si="42"/>
        <v>6.3634482599495081</v>
      </c>
      <c r="G113" s="95">
        <f t="shared" si="42"/>
        <v>6.5085674181802426</v>
      </c>
      <c r="H113" s="95">
        <f t="shared" si="42"/>
        <v>6.6469193423096602</v>
      </c>
      <c r="I113" s="97">
        <f t="shared" si="42"/>
        <v>6.7188833992762982</v>
      </c>
      <c r="J113" s="26">
        <f t="shared" ref="J113:J118" si="45">SUM(B113:I113)</f>
        <v>51.742391849353574</v>
      </c>
      <c r="K113" s="61"/>
      <c r="L113" s="20" t="s">
        <v>7</v>
      </c>
      <c r="M113" s="189">
        <f t="shared" si="43"/>
        <v>0.3090837165749134</v>
      </c>
      <c r="N113" s="190">
        <f t="shared" si="43"/>
        <v>0.55110463531670817</v>
      </c>
      <c r="O113" s="190">
        <f t="shared" si="43"/>
        <v>1.8027574851971728</v>
      </c>
      <c r="P113" s="190">
        <f t="shared" si="43"/>
        <v>0.94458455483221382</v>
      </c>
      <c r="Q113" s="190">
        <f t="shared" si="43"/>
        <v>0.72374425178058832</v>
      </c>
      <c r="R113" s="190">
        <f t="shared" si="43"/>
        <v>0.37862509354985363</v>
      </c>
      <c r="S113" s="190">
        <f t="shared" si="43"/>
        <v>0.14027316942043555</v>
      </c>
      <c r="T113" s="191">
        <f t="shared" si="43"/>
        <v>-3.1690887546202084E-2</v>
      </c>
      <c r="U113" s="192">
        <f t="shared" si="43"/>
        <v>4.818482019125689</v>
      </c>
      <c r="W113" s="20" t="s">
        <v>7</v>
      </c>
      <c r="X113" s="193">
        <f t="shared" si="44"/>
        <v>4.8613830764104006E-2</v>
      </c>
      <c r="Y113" s="194">
        <f t="shared" si="44"/>
        <v>8.8009237334897808E-2</v>
      </c>
      <c r="Z113" s="194">
        <f t="shared" si="44"/>
        <v>0.27983863479847071</v>
      </c>
      <c r="AA113" s="194">
        <f t="shared" si="44"/>
        <v>0.14661524667520381</v>
      </c>
      <c r="AB113" s="194">
        <f t="shared" si="44"/>
        <v>0.11373460146375591</v>
      </c>
      <c r="AC113" s="194">
        <f t="shared" si="44"/>
        <v>5.8173338189944572E-2</v>
      </c>
      <c r="AD113" s="194">
        <f t="shared" si="44"/>
        <v>2.1103486020592161E-2</v>
      </c>
      <c r="AE113" s="195">
        <f t="shared" si="44"/>
        <v>-4.716689613874764E-3</v>
      </c>
      <c r="AF113" s="196">
        <f t="shared" si="44"/>
        <v>9.312445457014347E-2</v>
      </c>
    </row>
    <row r="114" spans="1:32">
      <c r="A114" s="20" t="s">
        <v>8</v>
      </c>
      <c r="B114" s="24">
        <f t="shared" si="42"/>
        <v>4.9970644741979271</v>
      </c>
      <c r="C114" s="95">
        <f t="shared" si="42"/>
        <v>4.987064190761604</v>
      </c>
      <c r="D114" s="95">
        <f t="shared" si="42"/>
        <v>4.9089408125513598</v>
      </c>
      <c r="E114" s="95">
        <f t="shared" si="42"/>
        <v>4.9022208963336649</v>
      </c>
      <c r="F114" s="95">
        <f t="shared" si="42"/>
        <v>4.7895225952158098</v>
      </c>
      <c r="G114" s="95">
        <f t="shared" si="42"/>
        <v>4.5821883440304951</v>
      </c>
      <c r="H114" s="95">
        <f t="shared" si="42"/>
        <v>4.5747152425396278</v>
      </c>
      <c r="I114" s="97">
        <f t="shared" si="42"/>
        <v>4.4154708933003208</v>
      </c>
      <c r="J114" s="26">
        <f t="shared" si="45"/>
        <v>38.157187448930813</v>
      </c>
      <c r="K114" s="61"/>
      <c r="L114" s="20" t="s">
        <v>8</v>
      </c>
      <c r="M114" s="189">
        <f t="shared" si="43"/>
        <v>-2.0806946478224373</v>
      </c>
      <c r="N114" s="190">
        <f t="shared" si="43"/>
        <v>-3.209064190761604</v>
      </c>
      <c r="O114" s="190">
        <f t="shared" si="43"/>
        <v>-2.9809339415450915</v>
      </c>
      <c r="P114" s="190">
        <f t="shared" si="43"/>
        <v>-2.070202049772321</v>
      </c>
      <c r="Q114" s="190">
        <f t="shared" si="43"/>
        <v>-0.65452346031956132</v>
      </c>
      <c r="R114" s="190">
        <f t="shared" si="43"/>
        <v>-0.55333890854245382</v>
      </c>
      <c r="S114" s="190">
        <f t="shared" si="43"/>
        <v>-0.54615392426601961</v>
      </c>
      <c r="T114" s="191">
        <f t="shared" si="43"/>
        <v>-0.48840285125894578</v>
      </c>
      <c r="U114" s="192">
        <f t="shared" si="43"/>
        <v>-12.583313974288437</v>
      </c>
      <c r="W114" s="20" t="s">
        <v>8</v>
      </c>
      <c r="X114" s="193">
        <f t="shared" si="44"/>
        <v>-0.41638339040170319</v>
      </c>
      <c r="Y114" s="194">
        <f t="shared" si="44"/>
        <v>-0.64347761889776856</v>
      </c>
      <c r="Z114" s="194">
        <f t="shared" si="44"/>
        <v>-0.60724585106492435</v>
      </c>
      <c r="AA114" s="194">
        <f t="shared" si="44"/>
        <v>-0.42229880977428208</v>
      </c>
      <c r="AB114" s="194">
        <f t="shared" si="44"/>
        <v>-0.13665734889179895</v>
      </c>
      <c r="AC114" s="194">
        <f t="shared" si="44"/>
        <v>-0.12075865656271489</v>
      </c>
      <c r="AD114" s="194">
        <f t="shared" si="44"/>
        <v>-0.11938533773368269</v>
      </c>
      <c r="AE114" s="195">
        <f t="shared" si="44"/>
        <v>-0.11061172478795157</v>
      </c>
      <c r="AF114" s="196">
        <f t="shared" si="44"/>
        <v>-0.32977572026580354</v>
      </c>
    </row>
    <row r="115" spans="1:32">
      <c r="A115" s="20" t="s">
        <v>9</v>
      </c>
      <c r="B115" s="24">
        <f t="shared" si="42"/>
        <v>1.6238064440823579</v>
      </c>
      <c r="C115" s="95">
        <f t="shared" si="42"/>
        <v>1.6148719195413392</v>
      </c>
      <c r="D115" s="95">
        <f t="shared" si="42"/>
        <v>1.6185433663793196</v>
      </c>
      <c r="E115" s="95">
        <f t="shared" si="42"/>
        <v>1.6129264659595446</v>
      </c>
      <c r="F115" s="95">
        <f t="shared" si="42"/>
        <v>1.6182365790789965</v>
      </c>
      <c r="G115" s="95">
        <f t="shared" si="42"/>
        <v>1.6302197071746893</v>
      </c>
      <c r="H115" s="95">
        <f t="shared" si="42"/>
        <v>1.5776556153064059</v>
      </c>
      <c r="I115" s="97">
        <f t="shared" si="42"/>
        <v>1.6068944212632208</v>
      </c>
      <c r="J115" s="26">
        <f t="shared" si="45"/>
        <v>12.903154518785872</v>
      </c>
      <c r="K115" s="61"/>
      <c r="L115" s="20" t="s">
        <v>9</v>
      </c>
      <c r="M115" s="189">
        <f t="shared" si="43"/>
        <v>0.45650062957228177</v>
      </c>
      <c r="N115" s="190">
        <f t="shared" si="43"/>
        <v>-0.23787191954133924</v>
      </c>
      <c r="O115" s="190">
        <f t="shared" si="43"/>
        <v>0.51241159631181921</v>
      </c>
      <c r="P115" s="190">
        <f t="shared" si="43"/>
        <v>0.71337472943013047</v>
      </c>
      <c r="Q115" s="190">
        <f t="shared" si="43"/>
        <v>0.1411250143134799</v>
      </c>
      <c r="R115" s="190">
        <f t="shared" si="43"/>
        <v>0.12793102492882791</v>
      </c>
      <c r="S115" s="190">
        <f t="shared" si="43"/>
        <v>0.18036938524531276</v>
      </c>
      <c r="T115" s="191">
        <f t="shared" si="43"/>
        <v>0.15193817169818091</v>
      </c>
      <c r="U115" s="192">
        <f t="shared" si="43"/>
        <v>2.0457786319586972</v>
      </c>
      <c r="W115" s="20" t="s">
        <v>9</v>
      </c>
      <c r="X115" s="193">
        <f t="shared" si="44"/>
        <v>0.28112995316400441</v>
      </c>
      <c r="Y115" s="194">
        <f t="shared" si="44"/>
        <v>-0.14730079621974004</v>
      </c>
      <c r="Z115" s="194">
        <f t="shared" si="44"/>
        <v>0.3165881167942281</v>
      </c>
      <c r="AA115" s="194">
        <f t="shared" si="44"/>
        <v>0.44228595939476845</v>
      </c>
      <c r="AB115" s="194">
        <f t="shared" si="44"/>
        <v>8.7209136252376529E-2</v>
      </c>
      <c r="AC115" s="194">
        <f t="shared" si="44"/>
        <v>7.8474713785998421E-2</v>
      </c>
      <c r="AD115" s="194">
        <f t="shared" si="44"/>
        <v>0.1143274764754551</v>
      </c>
      <c r="AE115" s="195">
        <f t="shared" si="44"/>
        <v>9.4553923199719891E-2</v>
      </c>
      <c r="AF115" s="196">
        <f t="shared" si="44"/>
        <v>0.15854871992583064</v>
      </c>
    </row>
    <row r="116" spans="1:32">
      <c r="A116" s="20" t="s">
        <v>10</v>
      </c>
      <c r="B116" s="24">
        <f t="shared" si="42"/>
        <v>27.012325805308851</v>
      </c>
      <c r="C116" s="95">
        <f t="shared" si="42"/>
        <v>30.360492652145695</v>
      </c>
      <c r="D116" s="95">
        <f t="shared" si="42"/>
        <v>25.281089995138565</v>
      </c>
      <c r="E116" s="95">
        <f t="shared" si="42"/>
        <v>24.769213672610046</v>
      </c>
      <c r="F116" s="95">
        <f t="shared" si="42"/>
        <v>14.507803596137647</v>
      </c>
      <c r="G116" s="95">
        <f t="shared" si="42"/>
        <v>14.753434635391937</v>
      </c>
      <c r="H116" s="95">
        <f t="shared" si="42"/>
        <v>17.8492799747969</v>
      </c>
      <c r="I116" s="97">
        <f t="shared" si="42"/>
        <v>18.109152480251847</v>
      </c>
      <c r="J116" s="26">
        <f t="shared" si="45"/>
        <v>172.64279281178148</v>
      </c>
      <c r="K116" s="61"/>
      <c r="L116" s="20" t="s">
        <v>10</v>
      </c>
      <c r="M116" s="189">
        <f t="shared" si="43"/>
        <v>-6.675189909557929</v>
      </c>
      <c r="N116" s="190">
        <f t="shared" si="43"/>
        <v>-6.7414926521456913</v>
      </c>
      <c r="O116" s="190">
        <f t="shared" si="43"/>
        <v>3.2325243427120718</v>
      </c>
      <c r="P116" s="190">
        <f t="shared" si="43"/>
        <v>-0.8331335747243358</v>
      </c>
      <c r="Q116" s="190">
        <f t="shared" si="43"/>
        <v>4.0848569607467962</v>
      </c>
      <c r="R116" s="190">
        <f t="shared" si="43"/>
        <v>1.8926429950905046</v>
      </c>
      <c r="S116" s="190">
        <f t="shared" si="43"/>
        <v>-7.4892333318715032E-2</v>
      </c>
      <c r="T116" s="191">
        <f t="shared" si="43"/>
        <v>-0.83404952958812828</v>
      </c>
      <c r="U116" s="192">
        <f t="shared" si="43"/>
        <v>-5.9487337007853966</v>
      </c>
      <c r="W116" s="20" t="s">
        <v>10</v>
      </c>
      <c r="X116" s="193">
        <f t="shared" si="44"/>
        <v>-0.24711644445833036</v>
      </c>
      <c r="Y116" s="194">
        <f t="shared" si="44"/>
        <v>-0.22204819695734559</v>
      </c>
      <c r="Z116" s="194">
        <f t="shared" si="44"/>
        <v>0.12786332960064897</v>
      </c>
      <c r="AA116" s="194">
        <f t="shared" si="44"/>
        <v>-3.3635850767665676E-2</v>
      </c>
      <c r="AB116" s="194">
        <f t="shared" si="44"/>
        <v>0.28156274198764941</v>
      </c>
      <c r="AC116" s="194">
        <f t="shared" si="44"/>
        <v>0.12828490733610282</v>
      </c>
      <c r="AD116" s="194">
        <f t="shared" si="44"/>
        <v>-4.195818174428473E-3</v>
      </c>
      <c r="AE116" s="195">
        <f t="shared" si="44"/>
        <v>-4.6056795341342723E-2</v>
      </c>
      <c r="AF116" s="196">
        <f t="shared" si="44"/>
        <v>-3.445688988170402E-2</v>
      </c>
    </row>
    <row r="117" spans="1:32">
      <c r="A117" s="27" t="s">
        <v>11</v>
      </c>
      <c r="B117" s="28">
        <f t="shared" si="42"/>
        <v>5.5952514951152956</v>
      </c>
      <c r="C117" s="102">
        <f t="shared" si="42"/>
        <v>5.4133524830414999</v>
      </c>
      <c r="D117" s="102">
        <f t="shared" si="42"/>
        <v>3.9207626533007125</v>
      </c>
      <c r="E117" s="102">
        <f t="shared" si="42"/>
        <v>10.67310005205702</v>
      </c>
      <c r="F117" s="102">
        <f t="shared" si="42"/>
        <v>4.4984994771759448</v>
      </c>
      <c r="G117" s="102">
        <f t="shared" si="42"/>
        <v>3.3173526855225983</v>
      </c>
      <c r="H117" s="102">
        <f t="shared" si="42"/>
        <v>5.4511349862358127</v>
      </c>
      <c r="I117" s="104">
        <f t="shared" si="42"/>
        <v>4.5031399175406337</v>
      </c>
      <c r="J117" s="29">
        <f t="shared" si="45"/>
        <v>43.37259374998952</v>
      </c>
      <c r="K117" s="61"/>
      <c r="L117" s="27" t="s">
        <v>11</v>
      </c>
      <c r="M117" s="197">
        <f t="shared" si="43"/>
        <v>-0.17611414247190815</v>
      </c>
      <c r="N117" s="198">
        <f t="shared" si="43"/>
        <v>-0.5343524830414994</v>
      </c>
      <c r="O117" s="198">
        <f t="shared" si="43"/>
        <v>3.0092373466992872</v>
      </c>
      <c r="P117" s="198">
        <f t="shared" si="43"/>
        <v>-3.7731000520570195</v>
      </c>
      <c r="Q117" s="198">
        <f t="shared" si="43"/>
        <v>1.4151665601209347</v>
      </c>
      <c r="R117" s="198">
        <f t="shared" si="43"/>
        <v>2.4943535925105422</v>
      </c>
      <c r="S117" s="198">
        <f t="shared" si="43"/>
        <v>0.36057129179732783</v>
      </c>
      <c r="T117" s="199">
        <f t="shared" si="43"/>
        <v>1.3085663604925069</v>
      </c>
      <c r="U117" s="200">
        <f t="shared" si="43"/>
        <v>4.1043284740501704</v>
      </c>
      <c r="W117" s="27" t="s">
        <v>11</v>
      </c>
      <c r="X117" s="201">
        <f t="shared" si="44"/>
        <v>-3.1475643699958325E-2</v>
      </c>
      <c r="Y117" s="202">
        <f t="shared" si="44"/>
        <v>-9.871008487170832E-2</v>
      </c>
      <c r="Z117" s="202">
        <f t="shared" si="44"/>
        <v>0.76751326535054265</v>
      </c>
      <c r="AA117" s="202">
        <f t="shared" si="44"/>
        <v>-0.35351491447227951</v>
      </c>
      <c r="AB117" s="202">
        <f t="shared" si="44"/>
        <v>0.31458635647310196</v>
      </c>
      <c r="AC117" s="202">
        <f t="shared" si="44"/>
        <v>0.75191088466302003</v>
      </c>
      <c r="AD117" s="202">
        <f t="shared" si="44"/>
        <v>6.6146094842225528E-2</v>
      </c>
      <c r="AE117" s="203">
        <f t="shared" si="44"/>
        <v>0.29058976279981402</v>
      </c>
      <c r="AF117" s="204">
        <f t="shared" si="44"/>
        <v>9.4629537207494355E-2</v>
      </c>
    </row>
    <row r="118" spans="1:32">
      <c r="A118" s="27" t="s">
        <v>12</v>
      </c>
      <c r="B118" s="28">
        <f t="shared" si="42"/>
        <v>5.2702980740056535</v>
      </c>
      <c r="C118" s="109">
        <f t="shared" si="42"/>
        <v>5.2597759489877296</v>
      </c>
      <c r="D118" s="109">
        <f t="shared" si="42"/>
        <v>7.2544410376519073</v>
      </c>
      <c r="E118" s="109">
        <f t="shared" si="42"/>
        <v>0.46148218358392462</v>
      </c>
      <c r="F118" s="109">
        <f t="shared" si="42"/>
        <v>0.39003652058612387</v>
      </c>
      <c r="G118" s="109">
        <f t="shared" si="42"/>
        <v>2.706706137306977</v>
      </c>
      <c r="H118" s="109">
        <f t="shared" si="42"/>
        <v>3.8116575242118866</v>
      </c>
      <c r="I118" s="110">
        <f t="shared" si="42"/>
        <v>3.2498165931170693</v>
      </c>
      <c r="J118" s="29">
        <f t="shared" si="45"/>
        <v>28.404214019451274</v>
      </c>
      <c r="K118" s="61"/>
      <c r="L118" s="27" t="s">
        <v>12</v>
      </c>
      <c r="M118" s="197">
        <f t="shared" si="43"/>
        <v>-1.2857106819787218</v>
      </c>
      <c r="N118" s="205">
        <f t="shared" si="43"/>
        <v>-0.79377594898772941</v>
      </c>
      <c r="O118" s="205">
        <f t="shared" si="43"/>
        <v>-3.4044410376519072</v>
      </c>
      <c r="P118" s="205">
        <f t="shared" si="43"/>
        <v>1.3385178164160754</v>
      </c>
      <c r="Q118" s="205">
        <f t="shared" si="43"/>
        <v>-0.28807676132238458</v>
      </c>
      <c r="R118" s="205">
        <f t="shared" si="43"/>
        <v>-2.6047463780432376</v>
      </c>
      <c r="S118" s="205">
        <f t="shared" si="43"/>
        <v>-3.9146431453532138E-2</v>
      </c>
      <c r="T118" s="206">
        <f t="shared" si="43"/>
        <v>1.2895703322588492E-2</v>
      </c>
      <c r="U118" s="200">
        <f t="shared" si="43"/>
        <v>-7.064483719698849</v>
      </c>
      <c r="W118" s="27" t="s">
        <v>12</v>
      </c>
      <c r="X118" s="201">
        <f t="shared" si="44"/>
        <v>-0.24395407317095566</v>
      </c>
      <c r="Y118" s="207">
        <f t="shared" si="44"/>
        <v>-0.15091440332938433</v>
      </c>
      <c r="Z118" s="207">
        <f t="shared" si="44"/>
        <v>-0.46929060695127589</v>
      </c>
      <c r="AA118" s="207">
        <f t="shared" si="44"/>
        <v>2.9004756067092115</v>
      </c>
      <c r="AB118" s="207">
        <f t="shared" si="44"/>
        <v>-0.73858919900495423</v>
      </c>
      <c r="AC118" s="207">
        <f t="shared" si="44"/>
        <v>-0.96233068752517636</v>
      </c>
      <c r="AD118" s="207">
        <f t="shared" si="44"/>
        <v>-1.0270185924331229E-2</v>
      </c>
      <c r="AE118" s="208">
        <f t="shared" si="44"/>
        <v>3.9681326478241494E-3</v>
      </c>
      <c r="AF118" s="204">
        <f t="shared" si="44"/>
        <v>-0.24871252254546011</v>
      </c>
    </row>
    <row r="119" spans="1:32">
      <c r="A119" s="31" t="s">
        <v>13</v>
      </c>
      <c r="B119" s="32">
        <f t="shared" si="42"/>
        <v>52.452117066966601</v>
      </c>
      <c r="C119" s="32">
        <f t="shared" si="42"/>
        <v>56.551441500171002</v>
      </c>
      <c r="D119" s="33">
        <f t="shared" si="42"/>
        <v>59.705086597905385</v>
      </c>
      <c r="E119" s="33">
        <f t="shared" si="42"/>
        <v>55.530764055241214</v>
      </c>
      <c r="F119" s="33">
        <f t="shared" si="42"/>
        <v>42.40223817106898</v>
      </c>
      <c r="G119" s="33">
        <f t="shared" si="42"/>
        <v>42.9037865695771</v>
      </c>
      <c r="H119" s="33">
        <f t="shared" si="42"/>
        <v>42.828149836463901</v>
      </c>
      <c r="I119" s="33">
        <f t="shared" si="42"/>
        <v>43.516707249963822</v>
      </c>
      <c r="J119" s="32">
        <f>SUM(B119:I119)</f>
        <v>395.89029104735801</v>
      </c>
      <c r="K119" s="61"/>
      <c r="L119" s="31" t="s">
        <v>13</v>
      </c>
      <c r="M119" s="209">
        <f t="shared" si="43"/>
        <v>-11.41017639525765</v>
      </c>
      <c r="N119" s="76">
        <f t="shared" si="43"/>
        <v>-7.9714415001710037</v>
      </c>
      <c r="O119" s="210">
        <f t="shared" si="43"/>
        <v>-2.7786159452418744</v>
      </c>
      <c r="P119" s="210">
        <f t="shared" si="43"/>
        <v>-3.9787853987586672</v>
      </c>
      <c r="Q119" s="210">
        <f t="shared" si="43"/>
        <v>0.56309285741468074</v>
      </c>
      <c r="R119" s="210">
        <f t="shared" si="43"/>
        <v>0.28898108859890925</v>
      </c>
      <c r="S119" s="210">
        <f t="shared" si="43"/>
        <v>0.97833613655828344</v>
      </c>
      <c r="T119" s="210">
        <f t="shared" si="43"/>
        <v>-1.0141407954691175</v>
      </c>
      <c r="U119" s="209">
        <f t="shared" si="43"/>
        <v>-25.322749952326433</v>
      </c>
      <c r="W119" s="31" t="s">
        <v>13</v>
      </c>
      <c r="X119" s="211">
        <f t="shared" si="44"/>
        <v>-0.21753509740493535</v>
      </c>
      <c r="Y119" s="212">
        <f t="shared" si="44"/>
        <v>-0.14095912126566923</v>
      </c>
      <c r="Z119" s="213">
        <f t="shared" si="44"/>
        <v>-4.653901541011006E-2</v>
      </c>
      <c r="AA119" s="213">
        <f t="shared" si="44"/>
        <v>-7.1650110825066768E-2</v>
      </c>
      <c r="AB119" s="213">
        <f t="shared" si="44"/>
        <v>1.3279790919123666E-2</v>
      </c>
      <c r="AC119" s="213">
        <f t="shared" si="44"/>
        <v>6.7355613969006774E-3</v>
      </c>
      <c r="AD119" s="213">
        <f t="shared" si="44"/>
        <v>2.2843296763787067E-2</v>
      </c>
      <c r="AE119" s="213">
        <f t="shared" si="44"/>
        <v>-2.3304630785684288E-2</v>
      </c>
      <c r="AF119" s="211">
        <f t="shared" si="44"/>
        <v>-6.3964059046088664E-2</v>
      </c>
    </row>
    <row r="120" spans="1:32">
      <c r="A120" s="20" t="s">
        <v>14</v>
      </c>
      <c r="B120" s="76">
        <f t="shared" si="42"/>
        <v>-1.5821445566928698</v>
      </c>
      <c r="C120" s="214">
        <f t="shared" si="42"/>
        <v>0</v>
      </c>
      <c r="D120" s="214">
        <f t="shared" si="42"/>
        <v>0</v>
      </c>
      <c r="E120" s="214">
        <f t="shared" si="42"/>
        <v>0</v>
      </c>
      <c r="F120" s="214">
        <f t="shared" si="42"/>
        <v>0</v>
      </c>
      <c r="G120" s="214">
        <f t="shared" si="42"/>
        <v>0</v>
      </c>
      <c r="H120" s="214">
        <f t="shared" si="42"/>
        <v>0</v>
      </c>
      <c r="I120" s="214">
        <f t="shared" si="42"/>
        <v>0</v>
      </c>
      <c r="J120" s="214">
        <f t="shared" ref="J120:J142" si="46">SUM(B120:I120)</f>
        <v>-1.5821445566928698</v>
      </c>
      <c r="K120" s="61"/>
      <c r="L120" s="20" t="s">
        <v>14</v>
      </c>
      <c r="M120" s="181">
        <f t="shared" si="43"/>
        <v>67.276728995404184</v>
      </c>
      <c r="N120" s="182">
        <f t="shared" si="43"/>
        <v>71.654000000000011</v>
      </c>
      <c r="O120" s="182">
        <f t="shared" si="43"/>
        <v>63.424774803047903</v>
      </c>
      <c r="P120" s="182">
        <f t="shared" si="43"/>
        <v>59.609647910604167</v>
      </c>
      <c r="Q120" s="182">
        <f t="shared" si="43"/>
        <v>58.020372751237822</v>
      </c>
      <c r="R120" s="182">
        <f t="shared" si="43"/>
        <v>57.446963137441116</v>
      </c>
      <c r="S120" s="182">
        <f t="shared" si="43"/>
        <v>54.100044393261342</v>
      </c>
      <c r="T120" s="182">
        <f t="shared" si="43"/>
        <v>54.100044393261342</v>
      </c>
      <c r="U120" s="215">
        <f t="shared" si="43"/>
        <v>485.63257638425785</v>
      </c>
      <c r="W120" s="20" t="s">
        <v>14</v>
      </c>
      <c r="X120" s="185">
        <f t="shared" si="44"/>
        <v>-42.522491836037787</v>
      </c>
      <c r="Y120" s="186" t="e">
        <f t="shared" si="44"/>
        <v>#DIV/0!</v>
      </c>
      <c r="Z120" s="186" t="e">
        <f t="shared" si="44"/>
        <v>#DIV/0!</v>
      </c>
      <c r="AA120" s="186" t="e">
        <f t="shared" si="44"/>
        <v>#DIV/0!</v>
      </c>
      <c r="AB120" s="186" t="e">
        <f t="shared" si="44"/>
        <v>#DIV/0!</v>
      </c>
      <c r="AC120" s="186" t="e">
        <f t="shared" si="44"/>
        <v>#DIV/0!</v>
      </c>
      <c r="AD120" s="186" t="e">
        <f t="shared" si="44"/>
        <v>#DIV/0!</v>
      </c>
      <c r="AE120" s="186" t="e">
        <f t="shared" si="44"/>
        <v>#DIV/0!</v>
      </c>
      <c r="AF120" s="216">
        <f t="shared" si="44"/>
        <v>-306.94576821688622</v>
      </c>
    </row>
    <row r="121" spans="1:32">
      <c r="A121" s="20" t="s">
        <v>15</v>
      </c>
      <c r="B121" s="24">
        <f t="shared" si="42"/>
        <v>0</v>
      </c>
      <c r="C121" s="95">
        <f t="shared" si="42"/>
        <v>0</v>
      </c>
      <c r="D121" s="95">
        <f t="shared" si="42"/>
        <v>0</v>
      </c>
      <c r="E121" s="95">
        <f t="shared" si="42"/>
        <v>0</v>
      </c>
      <c r="F121" s="95">
        <f t="shared" si="42"/>
        <v>0</v>
      </c>
      <c r="G121" s="95">
        <f t="shared" si="42"/>
        <v>0</v>
      </c>
      <c r="H121" s="95">
        <f t="shared" si="42"/>
        <v>0</v>
      </c>
      <c r="I121" s="97">
        <f t="shared" si="42"/>
        <v>0</v>
      </c>
      <c r="J121" s="26">
        <f t="shared" si="46"/>
        <v>0</v>
      </c>
      <c r="K121" s="61"/>
      <c r="L121" s="20" t="s">
        <v>15</v>
      </c>
      <c r="M121" s="189">
        <f t="shared" si="43"/>
        <v>24.242394904228135</v>
      </c>
      <c r="N121" s="190">
        <f t="shared" si="43"/>
        <v>22.747000000000003</v>
      </c>
      <c r="O121" s="190">
        <f t="shared" si="43"/>
        <v>25.363025062143592</v>
      </c>
      <c r="P121" s="190">
        <f t="shared" si="43"/>
        <v>24.283764346953358</v>
      </c>
      <c r="Q121" s="190">
        <f t="shared" si="43"/>
        <v>23.805044814627109</v>
      </c>
      <c r="R121" s="190">
        <f t="shared" si="43"/>
        <v>23.570288354412995</v>
      </c>
      <c r="S121" s="190">
        <f t="shared" si="43"/>
        <v>22.496841719848504</v>
      </c>
      <c r="T121" s="190">
        <f t="shared" si="43"/>
        <v>22.496841719848504</v>
      </c>
      <c r="U121" s="217">
        <f t="shared" si="43"/>
        <v>189.00520092206222</v>
      </c>
      <c r="W121" s="20" t="s">
        <v>15</v>
      </c>
      <c r="X121" s="193" t="e">
        <f t="shared" si="44"/>
        <v>#DIV/0!</v>
      </c>
      <c r="Y121" s="194" t="e">
        <f t="shared" si="44"/>
        <v>#DIV/0!</v>
      </c>
      <c r="Z121" s="194" t="e">
        <f t="shared" si="44"/>
        <v>#DIV/0!</v>
      </c>
      <c r="AA121" s="194" t="e">
        <f t="shared" si="44"/>
        <v>#DIV/0!</v>
      </c>
      <c r="AB121" s="194" t="e">
        <f t="shared" si="44"/>
        <v>#DIV/0!</v>
      </c>
      <c r="AC121" s="194" t="e">
        <f t="shared" si="44"/>
        <v>#DIV/0!</v>
      </c>
      <c r="AD121" s="194" t="e">
        <f t="shared" si="44"/>
        <v>#DIV/0!</v>
      </c>
      <c r="AE121" s="194" t="e">
        <f t="shared" si="44"/>
        <v>#DIV/0!</v>
      </c>
      <c r="AF121" s="218" t="e">
        <f t="shared" si="44"/>
        <v>#DIV/0!</v>
      </c>
    </row>
    <row r="122" spans="1:32">
      <c r="A122" s="20" t="s">
        <v>51</v>
      </c>
      <c r="B122" s="24">
        <f t="shared" si="42"/>
        <v>0</v>
      </c>
      <c r="C122" s="95">
        <f t="shared" si="42"/>
        <v>0</v>
      </c>
      <c r="D122" s="95">
        <f t="shared" si="42"/>
        <v>0</v>
      </c>
      <c r="E122" s="95">
        <f t="shared" si="42"/>
        <v>0</v>
      </c>
      <c r="F122" s="95">
        <f t="shared" si="42"/>
        <v>0</v>
      </c>
      <c r="G122" s="95">
        <f t="shared" si="42"/>
        <v>0</v>
      </c>
      <c r="H122" s="95">
        <f t="shared" si="42"/>
        <v>0</v>
      </c>
      <c r="I122" s="97">
        <f t="shared" si="42"/>
        <v>0</v>
      </c>
      <c r="J122" s="26">
        <f t="shared" si="46"/>
        <v>0</v>
      </c>
      <c r="K122" s="61"/>
      <c r="L122" s="20" t="s">
        <v>51</v>
      </c>
      <c r="M122" s="219">
        <f t="shared" si="43"/>
        <v>9.4205036441344828E-2</v>
      </c>
      <c r="N122" s="220">
        <f t="shared" si="43"/>
        <v>3.2000000000000001E-2</v>
      </c>
      <c r="O122" s="220">
        <f t="shared" si="43"/>
        <v>0.2030225272815992</v>
      </c>
      <c r="P122" s="220">
        <f t="shared" si="43"/>
        <v>0.20231808459077724</v>
      </c>
      <c r="Q122" s="220">
        <f t="shared" si="43"/>
        <v>0.20237721853832236</v>
      </c>
      <c r="R122" s="220">
        <f t="shared" si="43"/>
        <v>0.20240115603466996</v>
      </c>
      <c r="S122" s="220">
        <f t="shared" si="43"/>
        <v>0.20254111154857179</v>
      </c>
      <c r="T122" s="220">
        <f t="shared" si="43"/>
        <v>0.20254111154857179</v>
      </c>
      <c r="U122" s="221">
        <f t="shared" si="43"/>
        <v>1.3414062459838572</v>
      </c>
      <c r="W122" s="20" t="s">
        <v>51</v>
      </c>
      <c r="X122" s="222" t="e">
        <f t="shared" si="44"/>
        <v>#DIV/0!</v>
      </c>
      <c r="Y122" s="223" t="e">
        <f t="shared" si="44"/>
        <v>#DIV/0!</v>
      </c>
      <c r="Z122" s="223" t="e">
        <f t="shared" si="44"/>
        <v>#DIV/0!</v>
      </c>
      <c r="AA122" s="223" t="e">
        <f t="shared" si="44"/>
        <v>#DIV/0!</v>
      </c>
      <c r="AB122" s="223" t="e">
        <f t="shared" si="44"/>
        <v>#DIV/0!</v>
      </c>
      <c r="AC122" s="223" t="e">
        <f t="shared" si="44"/>
        <v>#DIV/0!</v>
      </c>
      <c r="AD122" s="223" t="e">
        <f t="shared" si="44"/>
        <v>#DIV/0!</v>
      </c>
      <c r="AE122" s="223" t="e">
        <f t="shared" si="44"/>
        <v>#DIV/0!</v>
      </c>
      <c r="AF122" s="224" t="e">
        <f t="shared" si="44"/>
        <v>#DIV/0!</v>
      </c>
    </row>
    <row r="123" spans="1:32">
      <c r="A123" s="31" t="s">
        <v>17</v>
      </c>
      <c r="B123" s="225">
        <f t="shared" si="42"/>
        <v>97.192578383992199</v>
      </c>
      <c r="C123" s="226">
        <f t="shared" si="42"/>
        <v>100.60371819671792</v>
      </c>
      <c r="D123" s="226">
        <f t="shared" si="42"/>
        <v>99.878558628696553</v>
      </c>
      <c r="E123" s="226">
        <f t="shared" si="42"/>
        <v>100.98491255435174</v>
      </c>
      <c r="F123" s="226">
        <f t="shared" si="42"/>
        <v>101.48140173277559</v>
      </c>
      <c r="G123" s="226">
        <f t="shared" si="42"/>
        <v>101.30174243729719</v>
      </c>
      <c r="H123" s="226">
        <f t="shared" si="42"/>
        <v>102.38915753089252</v>
      </c>
      <c r="I123" s="227">
        <f t="shared" si="42"/>
        <v>102.13579164170285</v>
      </c>
      <c r="J123" s="228">
        <f t="shared" si="46"/>
        <v>805.96786110642665</v>
      </c>
      <c r="K123" s="61"/>
      <c r="L123" s="31" t="s">
        <v>17</v>
      </c>
      <c r="M123" s="209">
        <f t="shared" si="43"/>
        <v>-7.1613940046113953</v>
      </c>
      <c r="N123" s="210">
        <f t="shared" si="43"/>
        <v>-6.1707181967179139</v>
      </c>
      <c r="O123" s="209">
        <f t="shared" si="43"/>
        <v>-10.887736236223461</v>
      </c>
      <c r="P123" s="79">
        <f t="shared" si="43"/>
        <v>-16.889182212203437</v>
      </c>
      <c r="Q123" s="209">
        <f t="shared" si="43"/>
        <v>-19.45360694837234</v>
      </c>
      <c r="R123" s="209">
        <f t="shared" si="43"/>
        <v>-20.082089789408414</v>
      </c>
      <c r="S123" s="209">
        <f t="shared" si="43"/>
        <v>-25.589730306234102</v>
      </c>
      <c r="T123" s="209">
        <f t="shared" si="43"/>
        <v>-25.336364417044436</v>
      </c>
      <c r="U123" s="210">
        <f t="shared" si="43"/>
        <v>-131.57082211081558</v>
      </c>
      <c r="W123" s="31" t="s">
        <v>17</v>
      </c>
      <c r="X123" s="211">
        <f t="shared" si="44"/>
        <v>-7.368251901207809E-2</v>
      </c>
      <c r="Y123" s="213">
        <f t="shared" si="44"/>
        <v>-6.1336880060952122E-2</v>
      </c>
      <c r="Z123" s="211">
        <f t="shared" si="44"/>
        <v>-0.10900974529177133</v>
      </c>
      <c r="AA123" s="229">
        <f t="shared" si="44"/>
        <v>-0.16724460897179469</v>
      </c>
      <c r="AB123" s="211">
        <f t="shared" si="44"/>
        <v>-0.19169627750706739</v>
      </c>
      <c r="AC123" s="211">
        <f t="shared" si="44"/>
        <v>-0.19824031952696805</v>
      </c>
      <c r="AD123" s="211">
        <f t="shared" si="44"/>
        <v>-0.24992617307660972</v>
      </c>
      <c r="AE123" s="211">
        <f t="shared" si="44"/>
        <v>-0.24806548233282991</v>
      </c>
      <c r="AF123" s="213">
        <f t="shared" si="44"/>
        <v>-0.16324574273991044</v>
      </c>
    </row>
    <row r="124" spans="1:32">
      <c r="A124" s="40" t="s">
        <v>18</v>
      </c>
      <c r="B124" s="24">
        <f t="shared" si="42"/>
        <v>21.290938717746418</v>
      </c>
      <c r="C124" s="95">
        <f t="shared" si="42"/>
        <v>21.248010112209812</v>
      </c>
      <c r="D124" s="95">
        <f t="shared" si="42"/>
        <v>21.222971100841576</v>
      </c>
      <c r="E124" s="95">
        <f t="shared" si="42"/>
        <v>21.174826975501912</v>
      </c>
      <c r="F124" s="95">
        <f t="shared" si="42"/>
        <v>21.120268199897772</v>
      </c>
      <c r="G124" s="95">
        <f t="shared" si="42"/>
        <v>21.04343167055023</v>
      </c>
      <c r="H124" s="95">
        <f t="shared" si="42"/>
        <v>20.976321546320413</v>
      </c>
      <c r="I124" s="97">
        <f t="shared" si="42"/>
        <v>20.902463667617873</v>
      </c>
      <c r="J124" s="26">
        <f t="shared" si="46"/>
        <v>168.979231990686</v>
      </c>
      <c r="K124" s="61"/>
      <c r="L124" s="40" t="s">
        <v>18</v>
      </c>
      <c r="M124" s="76">
        <f t="shared" si="43"/>
        <v>-7.6634310544433468</v>
      </c>
      <c r="N124" s="182">
        <f t="shared" si="43"/>
        <v>-5.3970101122098093</v>
      </c>
      <c r="O124" s="182">
        <f t="shared" si="43"/>
        <v>-5.3173045822591263</v>
      </c>
      <c r="P124" s="182">
        <f t="shared" si="43"/>
        <v>-4.6691604569194602</v>
      </c>
      <c r="Q124" s="182">
        <f t="shared" si="43"/>
        <v>-4.8146016813153203</v>
      </c>
      <c r="R124" s="182">
        <f t="shared" si="43"/>
        <v>-4.9377651519677777</v>
      </c>
      <c r="S124" s="182">
        <f t="shared" si="43"/>
        <v>-4.4706550277379584</v>
      </c>
      <c r="T124" s="182">
        <f t="shared" si="43"/>
        <v>-3.9967971490354159</v>
      </c>
      <c r="U124" s="214">
        <f t="shared" si="43"/>
        <v>-41.266725215888215</v>
      </c>
      <c r="W124" s="40" t="s">
        <v>18</v>
      </c>
      <c r="X124" s="212">
        <f t="shared" si="44"/>
        <v>-0.35993861783349768</v>
      </c>
      <c r="Y124" s="186">
        <f t="shared" si="44"/>
        <v>-0.25400073153713854</v>
      </c>
      <c r="Z124" s="186">
        <f t="shared" si="44"/>
        <v>-0.25054477796693952</v>
      </c>
      <c r="AA124" s="186">
        <f t="shared" si="44"/>
        <v>-0.22050524721271239</v>
      </c>
      <c r="AB124" s="186">
        <f t="shared" si="44"/>
        <v>-0.22796119991215946</v>
      </c>
      <c r="AC124" s="186">
        <f t="shared" si="44"/>
        <v>-0.23464638416737227</v>
      </c>
      <c r="AD124" s="186">
        <f t="shared" si="44"/>
        <v>-0.21312864688242653</v>
      </c>
      <c r="AE124" s="186">
        <f t="shared" si="44"/>
        <v>-0.19121177353018246</v>
      </c>
      <c r="AF124" s="230">
        <f t="shared" si="44"/>
        <v>-0.24421181662231015</v>
      </c>
    </row>
    <row r="125" spans="1:32">
      <c r="A125" s="40" t="s">
        <v>19</v>
      </c>
      <c r="B125" s="24">
        <f t="shared" si="42"/>
        <v>15.745269754907659</v>
      </c>
      <c r="C125" s="95">
        <f t="shared" si="42"/>
        <v>15.710524824880059</v>
      </c>
      <c r="D125" s="95">
        <f t="shared" si="42"/>
        <v>15.586151359393174</v>
      </c>
      <c r="E125" s="95">
        <f t="shared" si="42"/>
        <v>15.435462127236121</v>
      </c>
      <c r="F125" s="95">
        <f t="shared" si="42"/>
        <v>15.322791039361906</v>
      </c>
      <c r="G125" s="95">
        <f t="shared" si="42"/>
        <v>15.227243529652826</v>
      </c>
      <c r="H125" s="95">
        <f t="shared" si="42"/>
        <v>15.154816859213851</v>
      </c>
      <c r="I125" s="97">
        <f t="shared" si="42"/>
        <v>15.079314206800159</v>
      </c>
      <c r="J125" s="26">
        <f t="shared" si="46"/>
        <v>123.26157370144576</v>
      </c>
      <c r="K125" s="61"/>
      <c r="L125" s="40" t="s">
        <v>19</v>
      </c>
      <c r="M125" s="189">
        <f t="shared" si="43"/>
        <v>-5.7417114072411852</v>
      </c>
      <c r="N125" s="190">
        <f t="shared" si="43"/>
        <v>-5.5025248248800587</v>
      </c>
      <c r="O125" s="190">
        <f t="shared" si="43"/>
        <v>-4.586151359393174</v>
      </c>
      <c r="P125" s="190">
        <f t="shared" si="43"/>
        <v>-4.6354621272361207</v>
      </c>
      <c r="Q125" s="190">
        <f t="shared" si="43"/>
        <v>-4.7227910393619066</v>
      </c>
      <c r="R125" s="190">
        <f t="shared" si="43"/>
        <v>-4.8272435296528258</v>
      </c>
      <c r="S125" s="190">
        <f t="shared" si="43"/>
        <v>-4.9548168592138513</v>
      </c>
      <c r="T125" s="190">
        <f t="shared" si="43"/>
        <v>-5.0793142068001593</v>
      </c>
      <c r="U125" s="214">
        <f t="shared" si="43"/>
        <v>-40.050015353779273</v>
      </c>
      <c r="W125" s="40" t="s">
        <v>19</v>
      </c>
      <c r="X125" s="193">
        <f t="shared" si="44"/>
        <v>-0.3646626254498781</v>
      </c>
      <c r="Y125" s="194">
        <f t="shared" si="44"/>
        <v>-0.35024449445291317</v>
      </c>
      <c r="Z125" s="194">
        <f t="shared" si="44"/>
        <v>-0.29424527284789115</v>
      </c>
      <c r="AA125" s="194">
        <f t="shared" si="44"/>
        <v>-0.30031249398466492</v>
      </c>
      <c r="AB125" s="194">
        <f t="shared" si="44"/>
        <v>-0.30822002513966151</v>
      </c>
      <c r="AC125" s="194">
        <f t="shared" si="44"/>
        <v>-0.31701361577704307</v>
      </c>
      <c r="AD125" s="194">
        <f t="shared" si="44"/>
        <v>-0.32694666687452667</v>
      </c>
      <c r="AE125" s="194">
        <f t="shared" si="44"/>
        <v>-0.3368398679901235</v>
      </c>
      <c r="AF125" s="230">
        <f t="shared" si="44"/>
        <v>-0.32491890336225293</v>
      </c>
    </row>
    <row r="126" spans="1:32">
      <c r="A126" s="40" t="s">
        <v>20</v>
      </c>
      <c r="B126" s="24">
        <f t="shared" si="42"/>
        <v>17.391413676221458</v>
      </c>
      <c r="C126" s="95">
        <f t="shared" si="42"/>
        <v>17.080814857553499</v>
      </c>
      <c r="D126" s="95">
        <f t="shared" si="42"/>
        <v>16.701572588385766</v>
      </c>
      <c r="E126" s="95">
        <f t="shared" si="42"/>
        <v>16.270851973703806</v>
      </c>
      <c r="F126" s="95">
        <f t="shared" si="42"/>
        <v>15.803155615323005</v>
      </c>
      <c r="G126" s="95">
        <f t="shared" si="42"/>
        <v>15.369728778386561</v>
      </c>
      <c r="H126" s="95">
        <f t="shared" si="42"/>
        <v>14.87475732597095</v>
      </c>
      <c r="I126" s="97">
        <f t="shared" si="42"/>
        <v>14.321399928652593</v>
      </c>
      <c r="J126" s="26">
        <f t="shared" si="46"/>
        <v>127.81369474419763</v>
      </c>
      <c r="K126" s="61"/>
      <c r="L126" s="40" t="s">
        <v>20</v>
      </c>
      <c r="M126" s="189">
        <f t="shared" si="43"/>
        <v>-0.7134265876399013</v>
      </c>
      <c r="N126" s="190">
        <f t="shared" si="43"/>
        <v>-2.0988148575534975</v>
      </c>
      <c r="O126" s="190">
        <f t="shared" si="43"/>
        <v>-0.40157258838576482</v>
      </c>
      <c r="P126" s="190">
        <f t="shared" si="43"/>
        <v>-0.27085197370380598</v>
      </c>
      <c r="Q126" s="190">
        <f t="shared" si="43"/>
        <v>-0.10315561532300599</v>
      </c>
      <c r="R126" s="190">
        <f t="shared" si="43"/>
        <v>8.027122161343847E-2</v>
      </c>
      <c r="S126" s="190">
        <f t="shared" si="43"/>
        <v>0.42524267402905025</v>
      </c>
      <c r="T126" s="190">
        <f t="shared" si="43"/>
        <v>0.77860007134740705</v>
      </c>
      <c r="U126" s="214">
        <f t="shared" si="43"/>
        <v>-2.3037076556160798</v>
      </c>
      <c r="W126" s="40" t="s">
        <v>20</v>
      </c>
      <c r="X126" s="193">
        <f t="shared" si="44"/>
        <v>-4.102177091074196E-2</v>
      </c>
      <c r="Y126" s="194">
        <f t="shared" si="44"/>
        <v>-0.12287556975804097</v>
      </c>
      <c r="Z126" s="194">
        <f t="shared" si="44"/>
        <v>-2.4043998627112362E-2</v>
      </c>
      <c r="AA126" s="194">
        <f t="shared" si="44"/>
        <v>-1.6646453064753115E-2</v>
      </c>
      <c r="AB126" s="194">
        <f t="shared" si="44"/>
        <v>-6.5275327177683785E-3</v>
      </c>
      <c r="AC126" s="194">
        <f t="shared" si="44"/>
        <v>5.2226830265423166E-3</v>
      </c>
      <c r="AD126" s="194">
        <f t="shared" si="44"/>
        <v>2.8588209186215581E-2</v>
      </c>
      <c r="AE126" s="194">
        <f t="shared" si="44"/>
        <v>5.4366198501982654E-2</v>
      </c>
      <c r="AF126" s="230">
        <f t="shared" si="44"/>
        <v>-1.8023950095697093E-2</v>
      </c>
    </row>
    <row r="127" spans="1:32">
      <c r="A127" s="40" t="s">
        <v>21</v>
      </c>
      <c r="B127" s="24">
        <f t="shared" si="42"/>
        <v>8.846394632024106</v>
      </c>
      <c r="C127" s="95">
        <f t="shared" si="42"/>
        <v>8.7907924512378521</v>
      </c>
      <c r="D127" s="95">
        <f t="shared" si="42"/>
        <v>8.7305585914166723</v>
      </c>
      <c r="E127" s="95">
        <f t="shared" si="42"/>
        <v>8.6793092717608147</v>
      </c>
      <c r="F127" s="95">
        <f t="shared" si="42"/>
        <v>8.6412984423512249</v>
      </c>
      <c r="G127" s="95">
        <f t="shared" si="42"/>
        <v>8.6124098412977457</v>
      </c>
      <c r="H127" s="95">
        <f t="shared" si="42"/>
        <v>8.6386336086724498</v>
      </c>
      <c r="I127" s="97">
        <f t="shared" si="42"/>
        <v>8.7143981508157502</v>
      </c>
      <c r="J127" s="26">
        <f t="shared" si="46"/>
        <v>69.653794989576625</v>
      </c>
      <c r="K127" s="61"/>
      <c r="L127" s="40" t="s">
        <v>21</v>
      </c>
      <c r="M127" s="189">
        <f t="shared" si="43"/>
        <v>-0.33763183075999947</v>
      </c>
      <c r="N127" s="190">
        <f t="shared" si="43"/>
        <v>0.57420754876214808</v>
      </c>
      <c r="O127" s="190">
        <f t="shared" si="43"/>
        <v>0.16944140858332801</v>
      </c>
      <c r="P127" s="190">
        <f t="shared" si="43"/>
        <v>0.12069072823918603</v>
      </c>
      <c r="Q127" s="190">
        <f t="shared" si="43"/>
        <v>5.8701557648774383E-2</v>
      </c>
      <c r="R127" s="190">
        <f t="shared" si="43"/>
        <v>-1.2409841297746027E-2</v>
      </c>
      <c r="S127" s="190">
        <f t="shared" si="43"/>
        <v>-0.13863360867244978</v>
      </c>
      <c r="T127" s="190">
        <f t="shared" si="43"/>
        <v>-0.31439815081574984</v>
      </c>
      <c r="U127" s="214">
        <f t="shared" si="43"/>
        <v>0.11996781168748782</v>
      </c>
      <c r="W127" s="40" t="s">
        <v>21</v>
      </c>
      <c r="X127" s="193">
        <f t="shared" si="44"/>
        <v>-3.8166037668924041E-2</v>
      </c>
      <c r="Y127" s="194">
        <f t="shared" si="44"/>
        <v>6.5319202102342044E-2</v>
      </c>
      <c r="Z127" s="194">
        <f t="shared" si="44"/>
        <v>1.9407854240839982E-2</v>
      </c>
      <c r="AA127" s="194">
        <f t="shared" si="44"/>
        <v>1.3905568341926465E-2</v>
      </c>
      <c r="AB127" s="194">
        <f t="shared" si="44"/>
        <v>6.7931408734914819E-3</v>
      </c>
      <c r="AC127" s="194">
        <f t="shared" si="44"/>
        <v>-1.4409255395904466E-3</v>
      </c>
      <c r="AD127" s="194">
        <f t="shared" si="44"/>
        <v>-1.6048094519632537E-2</v>
      </c>
      <c r="AE127" s="194">
        <f t="shared" si="44"/>
        <v>-3.6078010824685487E-2</v>
      </c>
      <c r="AF127" s="230">
        <f t="shared" si="44"/>
        <v>1.7223442269791683E-3</v>
      </c>
    </row>
    <row r="128" spans="1:32">
      <c r="A128" s="40" t="s">
        <v>22</v>
      </c>
      <c r="B128" s="24">
        <f t="shared" si="42"/>
        <v>0</v>
      </c>
      <c r="C128" s="95">
        <f t="shared" si="42"/>
        <v>0</v>
      </c>
      <c r="D128" s="95">
        <f t="shared" si="42"/>
        <v>0</v>
      </c>
      <c r="E128" s="95">
        <f t="shared" si="42"/>
        <v>0</v>
      </c>
      <c r="F128" s="95">
        <f t="shared" si="42"/>
        <v>0</v>
      </c>
      <c r="G128" s="95">
        <f t="shared" si="42"/>
        <v>0</v>
      </c>
      <c r="H128" s="95">
        <f t="shared" si="42"/>
        <v>0</v>
      </c>
      <c r="I128" s="97">
        <f t="shared" si="42"/>
        <v>0</v>
      </c>
      <c r="J128" s="26">
        <f t="shared" si="46"/>
        <v>0</v>
      </c>
      <c r="K128" s="61"/>
      <c r="L128" s="40" t="s">
        <v>22</v>
      </c>
      <c r="M128" s="189">
        <f t="shared" si="43"/>
        <v>0</v>
      </c>
      <c r="N128" s="190">
        <f t="shared" si="43"/>
        <v>0</v>
      </c>
      <c r="O128" s="190" t="e">
        <f t="shared" si="43"/>
        <v>#VALUE!</v>
      </c>
      <c r="P128" s="190" t="e">
        <f t="shared" si="43"/>
        <v>#VALUE!</v>
      </c>
      <c r="Q128" s="190" t="e">
        <f t="shared" si="43"/>
        <v>#VALUE!</v>
      </c>
      <c r="R128" s="190" t="e">
        <f t="shared" si="43"/>
        <v>#VALUE!</v>
      </c>
      <c r="S128" s="190" t="e">
        <f t="shared" si="43"/>
        <v>#VALUE!</v>
      </c>
      <c r="T128" s="190" t="e">
        <f t="shared" si="43"/>
        <v>#VALUE!</v>
      </c>
      <c r="U128" s="214">
        <f t="shared" si="43"/>
        <v>0</v>
      </c>
      <c r="W128" s="40" t="s">
        <v>22</v>
      </c>
      <c r="X128" s="193" t="e">
        <f t="shared" si="44"/>
        <v>#DIV/0!</v>
      </c>
      <c r="Y128" s="194" t="e">
        <f t="shared" si="44"/>
        <v>#DIV/0!</v>
      </c>
      <c r="Z128" s="194" t="e">
        <f t="shared" si="44"/>
        <v>#VALUE!</v>
      </c>
      <c r="AA128" s="194" t="e">
        <f t="shared" si="44"/>
        <v>#VALUE!</v>
      </c>
      <c r="AB128" s="194" t="e">
        <f t="shared" si="44"/>
        <v>#VALUE!</v>
      </c>
      <c r="AC128" s="194" t="e">
        <f t="shared" si="44"/>
        <v>#VALUE!</v>
      </c>
      <c r="AD128" s="194" t="e">
        <f t="shared" si="44"/>
        <v>#VALUE!</v>
      </c>
      <c r="AE128" s="194" t="e">
        <f t="shared" si="44"/>
        <v>#VALUE!</v>
      </c>
      <c r="AF128" s="230" t="e">
        <f t="shared" si="44"/>
        <v>#DIV/0!</v>
      </c>
    </row>
    <row r="129" spans="1:32">
      <c r="A129" s="40" t="s">
        <v>24</v>
      </c>
      <c r="B129" s="24">
        <f t="shared" si="42"/>
        <v>11.680276721680482</v>
      </c>
      <c r="C129" s="95">
        <f t="shared" si="42"/>
        <v>12.394696696167209</v>
      </c>
      <c r="D129" s="95">
        <f t="shared" si="42"/>
        <v>13.117342807176676</v>
      </c>
      <c r="E129" s="95">
        <f t="shared" si="42"/>
        <v>13.741622791614263</v>
      </c>
      <c r="F129" s="95">
        <f t="shared" si="42"/>
        <v>12.700099184955713</v>
      </c>
      <c r="G129" s="95">
        <f t="shared" si="42"/>
        <v>13.078525989167657</v>
      </c>
      <c r="H129" s="95">
        <f t="shared" si="42"/>
        <v>13.376548865714764</v>
      </c>
      <c r="I129" s="97">
        <f t="shared" si="42"/>
        <v>13.281880018773482</v>
      </c>
      <c r="J129" s="26">
        <f t="shared" si="46"/>
        <v>103.37099307525024</v>
      </c>
      <c r="K129" s="61"/>
      <c r="L129" s="40" t="s">
        <v>24</v>
      </c>
      <c r="M129" s="189">
        <f t="shared" si="43"/>
        <v>-4.7414518564325689</v>
      </c>
      <c r="N129" s="190">
        <f t="shared" si="43"/>
        <v>-5.5356966961672089</v>
      </c>
      <c r="O129" s="190">
        <f t="shared" si="43"/>
        <v>-6.3074319448565808</v>
      </c>
      <c r="P129" s="190">
        <f t="shared" si="43"/>
        <v>-6.9817119292941676</v>
      </c>
      <c r="Q129" s="190">
        <f t="shared" si="43"/>
        <v>-5.9901883226356167</v>
      </c>
      <c r="R129" s="190">
        <f t="shared" si="43"/>
        <v>-6.4186151268475609</v>
      </c>
      <c r="S129" s="190">
        <f t="shared" si="43"/>
        <v>-6.7666380033946671</v>
      </c>
      <c r="T129" s="190">
        <f t="shared" si="43"/>
        <v>-6.721969156453385</v>
      </c>
      <c r="U129" s="214">
        <f t="shared" si="43"/>
        <v>-49.463703036081753</v>
      </c>
      <c r="W129" s="40" t="s">
        <v>24</v>
      </c>
      <c r="X129" s="193">
        <f t="shared" si="44"/>
        <v>-0.40593660316554553</v>
      </c>
      <c r="Y129" s="194">
        <f t="shared" si="44"/>
        <v>-0.44661816516083069</v>
      </c>
      <c r="Z129" s="194">
        <f t="shared" si="44"/>
        <v>-0.48084677190914754</v>
      </c>
      <c r="AA129" s="194">
        <f t="shared" si="44"/>
        <v>-0.50807041025421773</v>
      </c>
      <c r="AB129" s="194">
        <f t="shared" si="44"/>
        <v>-0.47166468823577973</v>
      </c>
      <c r="AC129" s="194">
        <f t="shared" si="44"/>
        <v>-0.49077511733079132</v>
      </c>
      <c r="AD129" s="194">
        <f t="shared" si="44"/>
        <v>-0.50585828013817058</v>
      </c>
      <c r="AE129" s="194">
        <f t="shared" si="44"/>
        <v>-0.50610072873359135</v>
      </c>
      <c r="AF129" s="230">
        <f t="shared" si="44"/>
        <v>-0.47850660581420568</v>
      </c>
    </row>
    <row r="130" spans="1:32">
      <c r="A130" s="27" t="s">
        <v>57</v>
      </c>
      <c r="B130" s="28">
        <f t="shared" si="42"/>
        <v>5.1579167066403988</v>
      </c>
      <c r="C130" s="109">
        <f t="shared" si="42"/>
        <v>5.0032743699560696</v>
      </c>
      <c r="D130" s="109">
        <f t="shared" si="42"/>
        <v>5.6539617404662854</v>
      </c>
      <c r="E130" s="109">
        <f t="shared" si="42"/>
        <v>6.1987785881695379</v>
      </c>
      <c r="F130" s="109">
        <f t="shared" si="42"/>
        <v>5.0794059818621999</v>
      </c>
      <c r="G130" s="109">
        <f t="shared" si="42"/>
        <v>5.3756055344344924</v>
      </c>
      <c r="H130" s="109">
        <f t="shared" si="42"/>
        <v>5.5885361364844544</v>
      </c>
      <c r="I130" s="110">
        <f t="shared" si="42"/>
        <v>5.4160504532596248</v>
      </c>
      <c r="J130" s="29">
        <f t="shared" si="46"/>
        <v>43.473529511273064</v>
      </c>
      <c r="K130" s="61"/>
      <c r="L130" s="27" t="s">
        <v>57</v>
      </c>
      <c r="M130" s="197">
        <f t="shared" si="43"/>
        <v>-1.2766053743693009</v>
      </c>
      <c r="N130" s="205">
        <f t="shared" si="43"/>
        <v>-0.73127436995606931</v>
      </c>
      <c r="O130" s="205">
        <f t="shared" si="43"/>
        <v>-1.3815647404662856</v>
      </c>
      <c r="P130" s="205">
        <f t="shared" si="43"/>
        <v>-1.9263815881695381</v>
      </c>
      <c r="Q130" s="205">
        <f t="shared" si="43"/>
        <v>-0.80700898186220016</v>
      </c>
      <c r="R130" s="205">
        <f t="shared" si="43"/>
        <v>-1.1032085344344926</v>
      </c>
      <c r="S130" s="205">
        <f t="shared" si="43"/>
        <v>-1.3161391364844546</v>
      </c>
      <c r="T130" s="205">
        <f t="shared" si="43"/>
        <v>-1.143653453259625</v>
      </c>
      <c r="U130" s="231">
        <f t="shared" si="43"/>
        <v>-9.6858361790019742</v>
      </c>
      <c r="W130" s="27" t="s">
        <v>57</v>
      </c>
      <c r="X130" s="201">
        <f t="shared" si="44"/>
        <v>-0.24750406937083244</v>
      </c>
      <c r="Y130" s="207">
        <f t="shared" si="44"/>
        <v>-0.1461591581599572</v>
      </c>
      <c r="Z130" s="207">
        <f t="shared" si="44"/>
        <v>-0.24435339393583289</v>
      </c>
      <c r="AA130" s="207">
        <f t="shared" si="44"/>
        <v>-0.31076792964440869</v>
      </c>
      <c r="AB130" s="207">
        <f t="shared" si="44"/>
        <v>-0.15887861390562374</v>
      </c>
      <c r="AC130" s="207">
        <f t="shared" si="44"/>
        <v>-0.20522497928236635</v>
      </c>
      <c r="AD130" s="207">
        <f t="shared" si="44"/>
        <v>-0.2355069564446603</v>
      </c>
      <c r="AE130" s="207">
        <f t="shared" si="44"/>
        <v>-0.21116004422952198</v>
      </c>
      <c r="AF130" s="232">
        <f t="shared" si="44"/>
        <v>-0.22279847732377819</v>
      </c>
    </row>
    <row r="131" spans="1:32">
      <c r="A131" s="45" t="s">
        <v>26</v>
      </c>
      <c r="B131" s="32">
        <f t="shared" si="42"/>
        <v>74.954293502580128</v>
      </c>
      <c r="C131" s="32">
        <f t="shared" si="42"/>
        <v>75.224838942048436</v>
      </c>
      <c r="D131" s="33">
        <f t="shared" si="42"/>
        <v>75.35859644721387</v>
      </c>
      <c r="E131" s="33">
        <f t="shared" si="42"/>
        <v>75.302073139816912</v>
      </c>
      <c r="F131" s="33">
        <f t="shared" si="42"/>
        <v>73.587612481889622</v>
      </c>
      <c r="G131" s="33">
        <f t="shared" si="42"/>
        <v>73.331339809055024</v>
      </c>
      <c r="H131" s="33">
        <f t="shared" si="42"/>
        <v>73.021078205892422</v>
      </c>
      <c r="I131" s="33">
        <f t="shared" si="42"/>
        <v>72.299455972659857</v>
      </c>
      <c r="J131" s="32">
        <f t="shared" si="46"/>
        <v>593.07928850115627</v>
      </c>
      <c r="K131" s="61"/>
      <c r="L131" s="45" t="s">
        <v>26</v>
      </c>
      <c r="M131" s="233">
        <f t="shared" si="43"/>
        <v>-19.197652736517014</v>
      </c>
      <c r="N131" s="234">
        <f t="shared" si="43"/>
        <v>-17.959838942048428</v>
      </c>
      <c r="O131" s="233">
        <f t="shared" si="43"/>
        <v>-16.443019066311329</v>
      </c>
      <c r="P131" s="235">
        <f t="shared" si="43"/>
        <v>-16.436495758914361</v>
      </c>
      <c r="Q131" s="233">
        <f t="shared" si="43"/>
        <v>-15.572035100987073</v>
      </c>
      <c r="R131" s="233">
        <f t="shared" si="43"/>
        <v>-16.115762428152479</v>
      </c>
      <c r="S131" s="233">
        <f t="shared" si="43"/>
        <v>-15.905500824989865</v>
      </c>
      <c r="T131" s="233">
        <f t="shared" si="43"/>
        <v>-15.333878591757305</v>
      </c>
      <c r="U131" s="233">
        <f t="shared" si="43"/>
        <v>-132.96418344967788</v>
      </c>
      <c r="W131" s="45" t="s">
        <v>26</v>
      </c>
      <c r="X131" s="236">
        <f t="shared" si="44"/>
        <v>-0.2561247907147064</v>
      </c>
      <c r="Y131" s="237">
        <f t="shared" si="44"/>
        <v>-0.23874878556914284</v>
      </c>
      <c r="Z131" s="236">
        <f t="shared" si="44"/>
        <v>-0.21819699200248646</v>
      </c>
      <c r="AA131" s="238">
        <f t="shared" si="44"/>
        <v>-0.21827414669442027</v>
      </c>
      <c r="AB131" s="236">
        <f t="shared" si="44"/>
        <v>-0.21161218003668009</v>
      </c>
      <c r="AC131" s="236">
        <f t="shared" si="44"/>
        <v>-0.21976637096929857</v>
      </c>
      <c r="AD131" s="236">
        <f t="shared" si="44"/>
        <v>-0.21782067884758202</v>
      </c>
      <c r="AE131" s="236">
        <f t="shared" si="44"/>
        <v>-0.2120884367035325</v>
      </c>
      <c r="AF131" s="236">
        <f t="shared" si="44"/>
        <v>-0.22419293006455857</v>
      </c>
    </row>
    <row r="132" spans="1:32">
      <c r="A132" s="40" t="s">
        <v>27</v>
      </c>
      <c r="B132" s="24">
        <f t="shared" si="42"/>
        <v>20.05188138162675</v>
      </c>
      <c r="C132" s="95">
        <f t="shared" si="42"/>
        <v>20.197977754231665</v>
      </c>
      <c r="D132" s="95">
        <f t="shared" si="42"/>
        <v>20.298067266422684</v>
      </c>
      <c r="E132" s="95">
        <f t="shared" si="42"/>
        <v>20.356150493626721</v>
      </c>
      <c r="F132" s="95">
        <f t="shared" si="42"/>
        <v>20.412888929461747</v>
      </c>
      <c r="G132" s="95">
        <f t="shared" si="42"/>
        <v>20.470361895451408</v>
      </c>
      <c r="H132" s="95">
        <f t="shared" si="42"/>
        <v>20.523133584788479</v>
      </c>
      <c r="I132" s="97">
        <f t="shared" si="42"/>
        <v>20.579796757936681</v>
      </c>
      <c r="J132" s="26">
        <f t="shared" si="46"/>
        <v>162.89025806354613</v>
      </c>
      <c r="K132" s="61"/>
      <c r="L132" s="40" t="s">
        <v>27</v>
      </c>
      <c r="M132" s="239">
        <f t="shared" si="43"/>
        <v>3.9512790272135803</v>
      </c>
      <c r="N132" s="182">
        <f t="shared" si="43"/>
        <v>4.3610222457683392</v>
      </c>
      <c r="O132" s="182">
        <f t="shared" si="43"/>
        <v>3.3566855210307125</v>
      </c>
      <c r="P132" s="182">
        <f t="shared" si="43"/>
        <v>1.5986022938266728</v>
      </c>
      <c r="Q132" s="182">
        <f t="shared" si="43"/>
        <v>1.1918638579916454</v>
      </c>
      <c r="R132" s="182">
        <f t="shared" si="43"/>
        <v>0.78439089200198708</v>
      </c>
      <c r="S132" s="182">
        <f t="shared" si="43"/>
        <v>0.38161920266491478</v>
      </c>
      <c r="T132" s="182">
        <f t="shared" si="43"/>
        <v>-2.5043970483288547E-2</v>
      </c>
      <c r="U132" s="240">
        <f t="shared" si="43"/>
        <v>15.600419070014567</v>
      </c>
      <c r="W132" s="40" t="s">
        <v>27</v>
      </c>
      <c r="X132" s="193">
        <f t="shared" si="44"/>
        <v>0.19705278282934988</v>
      </c>
      <c r="Y132" s="186">
        <f t="shared" si="44"/>
        <v>0.21591380576972188</v>
      </c>
      <c r="Z132" s="186">
        <f t="shared" si="44"/>
        <v>0.16536971116375121</v>
      </c>
      <c r="AA132" s="186">
        <f t="shared" si="44"/>
        <v>7.8531660213809931E-2</v>
      </c>
      <c r="AB132" s="186">
        <f t="shared" si="44"/>
        <v>5.8387808903983138E-2</v>
      </c>
      <c r="AC132" s="186">
        <f t="shared" si="44"/>
        <v>3.8318369553411842E-2</v>
      </c>
      <c r="AD132" s="186">
        <f t="shared" si="44"/>
        <v>1.8594587473121881E-2</v>
      </c>
      <c r="AE132" s="186">
        <f t="shared" si="44"/>
        <v>-1.2169202046968827E-3</v>
      </c>
      <c r="AF132" s="230">
        <f t="shared" si="44"/>
        <v>9.5772572623272476E-2</v>
      </c>
    </row>
    <row r="133" spans="1:32">
      <c r="A133" s="40" t="s">
        <v>28</v>
      </c>
      <c r="B133" s="24">
        <f t="shared" si="42"/>
        <v>3.4464546204154729</v>
      </c>
      <c r="C133" s="95">
        <f t="shared" si="42"/>
        <v>4.123065508835503</v>
      </c>
      <c r="D133" s="95">
        <f t="shared" si="42"/>
        <v>4.3452597067553596</v>
      </c>
      <c r="E133" s="95">
        <f t="shared" si="42"/>
        <v>4.4825946268326451</v>
      </c>
      <c r="F133" s="95">
        <f t="shared" si="42"/>
        <v>4.4382974066609888</v>
      </c>
      <c r="G133" s="95">
        <f t="shared" si="42"/>
        <v>4.3946657145455781</v>
      </c>
      <c r="H133" s="95">
        <f t="shared" si="42"/>
        <v>4.4536192919136726</v>
      </c>
      <c r="I133" s="97">
        <f t="shared" si="42"/>
        <v>4.1056648571794998</v>
      </c>
      <c r="J133" s="26">
        <f t="shared" si="46"/>
        <v>33.789621733138723</v>
      </c>
      <c r="K133" s="61"/>
      <c r="L133" s="40" t="s">
        <v>28</v>
      </c>
      <c r="M133" s="239">
        <f t="shared" si="43"/>
        <v>-0.97858205628556982</v>
      </c>
      <c r="N133" s="190">
        <f t="shared" si="43"/>
        <v>-1.7310655088355036</v>
      </c>
      <c r="O133" s="190">
        <f t="shared" si="43"/>
        <v>-1.9452597067553596</v>
      </c>
      <c r="P133" s="190">
        <f t="shared" si="43"/>
        <v>-2.0825946268326452</v>
      </c>
      <c r="Q133" s="190">
        <f t="shared" si="43"/>
        <v>-2.0382974066609889</v>
      </c>
      <c r="R133" s="190">
        <f t="shared" si="43"/>
        <v>-1.9946657145455782</v>
      </c>
      <c r="S133" s="190">
        <f t="shared" si="43"/>
        <v>-2.0536192919136727</v>
      </c>
      <c r="T133" s="190">
        <f t="shared" si="43"/>
        <v>-1.7056648571794999</v>
      </c>
      <c r="U133" s="240">
        <f t="shared" si="43"/>
        <v>-14.52974916900882</v>
      </c>
      <c r="W133" s="40" t="s">
        <v>28</v>
      </c>
      <c r="X133" s="193">
        <f t="shared" si="44"/>
        <v>-0.28393876144163505</v>
      </c>
      <c r="Y133" s="194">
        <f t="shared" si="44"/>
        <v>-0.41984914019093927</v>
      </c>
      <c r="Z133" s="194">
        <f t="shared" si="44"/>
        <v>-0.44767397993062669</v>
      </c>
      <c r="AA133" s="194">
        <f t="shared" si="44"/>
        <v>-0.46459579779226767</v>
      </c>
      <c r="AB133" s="194">
        <f t="shared" si="44"/>
        <v>-0.45925210050185367</v>
      </c>
      <c r="AC133" s="194">
        <f t="shared" si="44"/>
        <v>-0.45388337682740737</v>
      </c>
      <c r="AD133" s="194">
        <f t="shared" si="44"/>
        <v>-0.4611124474968884</v>
      </c>
      <c r="AE133" s="194">
        <f t="shared" si="44"/>
        <v>-0.41544181430124172</v>
      </c>
      <c r="AF133" s="230">
        <f t="shared" si="44"/>
        <v>-0.43000626889998478</v>
      </c>
    </row>
    <row r="134" spans="1:32">
      <c r="A134" s="50" t="s">
        <v>29</v>
      </c>
      <c r="B134" s="24">
        <f t="shared" si="42"/>
        <v>23.498336002042223</v>
      </c>
      <c r="C134" s="47">
        <f t="shared" si="42"/>
        <v>24.321043263067168</v>
      </c>
      <c r="D134" s="47">
        <f t="shared" si="42"/>
        <v>24.643326973178045</v>
      </c>
      <c r="E134" s="47">
        <f t="shared" si="42"/>
        <v>24.838745120459368</v>
      </c>
      <c r="F134" s="47">
        <f t="shared" si="42"/>
        <v>24.851186336122737</v>
      </c>
      <c r="G134" s="47">
        <f t="shared" si="42"/>
        <v>24.865027609996989</v>
      </c>
      <c r="H134" s="47">
        <f t="shared" si="42"/>
        <v>24.97675287670215</v>
      </c>
      <c r="I134" s="47">
        <f t="shared" si="42"/>
        <v>24.685461615116182</v>
      </c>
      <c r="J134" s="41">
        <f t="shared" si="46"/>
        <v>196.67987979668487</v>
      </c>
      <c r="K134" s="61"/>
      <c r="L134" s="50" t="s">
        <v>29</v>
      </c>
      <c r="M134" s="189">
        <f t="shared" si="43"/>
        <v>2.9726969709280127</v>
      </c>
      <c r="N134" s="235">
        <f t="shared" si="43"/>
        <v>2.6299567369328365</v>
      </c>
      <c r="O134" s="235">
        <f t="shared" si="43"/>
        <v>1.4114258142753506</v>
      </c>
      <c r="P134" s="235">
        <f t="shared" si="43"/>
        <v>-0.48399233300597544</v>
      </c>
      <c r="Q134" s="235">
        <f t="shared" si="43"/>
        <v>-0.84643354866934573</v>
      </c>
      <c r="R134" s="235">
        <f t="shared" si="43"/>
        <v>-1.210274822543596</v>
      </c>
      <c r="S134" s="235">
        <f t="shared" si="43"/>
        <v>-1.6720000892487583</v>
      </c>
      <c r="T134" s="235">
        <f t="shared" si="43"/>
        <v>-1.7307088276627915</v>
      </c>
      <c r="U134" s="76">
        <f t="shared" si="43"/>
        <v>1.0706699010057434</v>
      </c>
      <c r="W134" s="50" t="s">
        <v>29</v>
      </c>
      <c r="X134" s="193">
        <f t="shared" si="44"/>
        <v>0.12650670118384799</v>
      </c>
      <c r="Y134" s="238">
        <f t="shared" si="44"/>
        <v>0.10813502975534645</v>
      </c>
      <c r="Z134" s="238">
        <f t="shared" si="44"/>
        <v>5.7274158469412653E-2</v>
      </c>
      <c r="AA134" s="238">
        <f t="shared" si="44"/>
        <v>-1.9485377810303184E-2</v>
      </c>
      <c r="AB134" s="238">
        <f t="shared" si="44"/>
        <v>-3.4060086195523073E-2</v>
      </c>
      <c r="AC134" s="238">
        <f t="shared" si="44"/>
        <v>-4.867377754517372E-2</v>
      </c>
      <c r="AD134" s="238">
        <f t="shared" si="44"/>
        <v>-6.6942252161543744E-2</v>
      </c>
      <c r="AE134" s="238">
        <f t="shared" si="44"/>
        <v>-7.011045021750735E-2</v>
      </c>
      <c r="AF134" s="212">
        <f t="shared" si="44"/>
        <v>5.4437185039594993E-3</v>
      </c>
    </row>
    <row r="135" spans="1:32">
      <c r="A135" s="51" t="s">
        <v>30</v>
      </c>
      <c r="B135" s="46">
        <f t="shared" si="42"/>
        <v>98.721001801171454</v>
      </c>
      <c r="C135" s="46">
        <f t="shared" si="42"/>
        <v>99.81425450166472</v>
      </c>
      <c r="D135" s="46">
        <f t="shared" si="42"/>
        <v>100.27029571694101</v>
      </c>
      <c r="E135" s="46">
        <f t="shared" si="42"/>
        <v>100.40919055682538</v>
      </c>
      <c r="F135" s="46">
        <f t="shared" si="42"/>
        <v>98.707171114561461</v>
      </c>
      <c r="G135" s="46">
        <f t="shared" si="42"/>
        <v>98.464739715601112</v>
      </c>
      <c r="H135" s="46">
        <f t="shared" si="42"/>
        <v>98.26620337914369</v>
      </c>
      <c r="I135" s="46">
        <f t="shared" si="42"/>
        <v>97.253289884325156</v>
      </c>
      <c r="J135" s="46">
        <f t="shared" ref="J135" si="47">SUM(J134,J131)+(0.5*J136)</f>
        <v>791.90614667023408</v>
      </c>
      <c r="K135" s="61"/>
      <c r="L135" s="51" t="s">
        <v>30</v>
      </c>
      <c r="M135" s="233">
        <f t="shared" si="43"/>
        <v>-16.493328062138104</v>
      </c>
      <c r="N135" s="235">
        <f t="shared" si="43"/>
        <v>-15.598254501664712</v>
      </c>
      <c r="O135" s="233">
        <f t="shared" si="43"/>
        <v>-15.299965548585078</v>
      </c>
      <c r="P135" s="233">
        <f t="shared" si="43"/>
        <v>-17.188860388469436</v>
      </c>
      <c r="Q135" s="233">
        <f t="shared" si="43"/>
        <v>-16.686840946205521</v>
      </c>
      <c r="R135" s="233">
        <f t="shared" si="43"/>
        <v>-17.594409547245178</v>
      </c>
      <c r="S135" s="233">
        <f t="shared" si="43"/>
        <v>-17.845873210787744</v>
      </c>
      <c r="T135" s="233">
        <f t="shared" si="43"/>
        <v>-17.33295971596921</v>
      </c>
      <c r="U135" s="233">
        <f t="shared" si="43"/>
        <v>-134.04049192106515</v>
      </c>
      <c r="W135" s="51" t="s">
        <v>30</v>
      </c>
      <c r="X135" s="236">
        <f t="shared" si="44"/>
        <v>-0.16707010424546148</v>
      </c>
      <c r="Y135" s="238">
        <f t="shared" si="44"/>
        <v>-0.15627281473513949</v>
      </c>
      <c r="Z135" s="236">
        <f t="shared" si="44"/>
        <v>-0.15258721876891898</v>
      </c>
      <c r="AA135" s="236">
        <f t="shared" si="44"/>
        <v>-0.17118811827032512</v>
      </c>
      <c r="AB135" s="236">
        <f t="shared" si="44"/>
        <v>-0.16905398825419127</v>
      </c>
      <c r="AC135" s="236">
        <f t="shared" si="44"/>
        <v>-0.17868741234744212</v>
      </c>
      <c r="AD135" s="236">
        <f t="shared" si="44"/>
        <v>-0.18160743569111376</v>
      </c>
      <c r="AE135" s="236">
        <f t="shared" si="44"/>
        <v>-0.17822491903960627</v>
      </c>
      <c r="AF135" s="236">
        <f t="shared" si="44"/>
        <v>-0.1692631033168156</v>
      </c>
    </row>
    <row r="136" spans="1:32">
      <c r="A136" s="134" t="s">
        <v>52</v>
      </c>
      <c r="B136" s="241">
        <f>+M177</f>
        <v>0.5367445930982282</v>
      </c>
      <c r="C136" s="241">
        <f t="shared" ref="C136:I136" si="48">+N177</f>
        <v>0.5367445930982282</v>
      </c>
      <c r="D136" s="241">
        <f t="shared" si="48"/>
        <v>0.5367445930982282</v>
      </c>
      <c r="E136" s="241">
        <f t="shared" si="48"/>
        <v>0.5367445930982282</v>
      </c>
      <c r="F136" s="241">
        <f t="shared" si="48"/>
        <v>0.5367445930982282</v>
      </c>
      <c r="G136" s="241">
        <f t="shared" si="48"/>
        <v>0.5367445930982282</v>
      </c>
      <c r="H136" s="241">
        <f t="shared" si="48"/>
        <v>0.5367445930982282</v>
      </c>
      <c r="I136" s="241">
        <f t="shared" si="48"/>
        <v>0.5367445930982282</v>
      </c>
      <c r="J136" s="242">
        <f t="shared" si="46"/>
        <v>4.2939567447858247</v>
      </c>
      <c r="K136" s="136"/>
      <c r="L136" s="134" t="s">
        <v>52</v>
      </c>
      <c r="M136" s="243">
        <f t="shared" si="43"/>
        <v>-0.51838108987212872</v>
      </c>
      <c r="N136" s="244">
        <f t="shared" si="43"/>
        <v>-0.47174459309822819</v>
      </c>
      <c r="O136" s="244">
        <f t="shared" si="43"/>
        <v>-0.47174459309822819</v>
      </c>
      <c r="P136" s="244">
        <f t="shared" si="43"/>
        <v>-0.47174459309822819</v>
      </c>
      <c r="Q136" s="244">
        <f t="shared" si="43"/>
        <v>-0.47174459309822819</v>
      </c>
      <c r="R136" s="244">
        <f t="shared" si="43"/>
        <v>-0.47174459309822819</v>
      </c>
      <c r="S136" s="244">
        <f t="shared" si="43"/>
        <v>-0.47174459309822819</v>
      </c>
      <c r="T136" s="244">
        <f t="shared" si="43"/>
        <v>-0.47174459309822819</v>
      </c>
      <c r="U136" s="245">
        <f t="shared" si="43"/>
        <v>-4.2939567447858247</v>
      </c>
      <c r="V136" s="138"/>
      <c r="W136" s="134" t="s">
        <v>52</v>
      </c>
      <c r="X136" s="246">
        <f t="shared" si="44"/>
        <v>-0.96578725997014592</v>
      </c>
      <c r="Y136" s="247">
        <f t="shared" si="44"/>
        <v>-0.87889957190848766</v>
      </c>
      <c r="Z136" s="247">
        <f t="shared" si="44"/>
        <v>-0.87889957190848766</v>
      </c>
      <c r="AA136" s="247">
        <f t="shared" si="44"/>
        <v>-0.87889957190848766</v>
      </c>
      <c r="AB136" s="247">
        <f t="shared" si="44"/>
        <v>-0.87889957190848766</v>
      </c>
      <c r="AC136" s="247">
        <f t="shared" si="44"/>
        <v>-0.87889957190848766</v>
      </c>
      <c r="AD136" s="247">
        <f t="shared" si="44"/>
        <v>-0.87889957190848766</v>
      </c>
      <c r="AE136" s="247">
        <f t="shared" si="44"/>
        <v>-0.87889957190848766</v>
      </c>
      <c r="AF136" s="248">
        <f t="shared" si="44"/>
        <v>-1</v>
      </c>
    </row>
    <row r="137" spans="1:32">
      <c r="A137" s="55" t="s">
        <v>32</v>
      </c>
      <c r="B137" s="87">
        <f t="shared" ref="B137:I137" si="49">+M178+M231</f>
        <v>248.36569725213025</v>
      </c>
      <c r="C137" s="87">
        <f t="shared" si="49"/>
        <v>256.96941419855364</v>
      </c>
      <c r="D137" s="87">
        <f t="shared" si="49"/>
        <v>259.85394094354297</v>
      </c>
      <c r="E137" s="87">
        <f t="shared" si="49"/>
        <v>256.92486716641838</v>
      </c>
      <c r="F137" s="87">
        <f t="shared" si="49"/>
        <v>242.59081101840601</v>
      </c>
      <c r="G137" s="87">
        <f t="shared" si="49"/>
        <v>242.67026872247541</v>
      </c>
      <c r="H137" s="87">
        <f t="shared" si="49"/>
        <v>243.48351074650012</v>
      </c>
      <c r="I137" s="87">
        <f t="shared" si="49"/>
        <v>242.90578877599185</v>
      </c>
      <c r="J137" s="87">
        <f t="shared" si="46"/>
        <v>1993.7642988240184</v>
      </c>
      <c r="K137" s="61"/>
      <c r="L137" s="55" t="s">
        <v>32</v>
      </c>
      <c r="M137" s="249">
        <f t="shared" si="43"/>
        <v>-35.064898462007164</v>
      </c>
      <c r="N137" s="249">
        <f t="shared" si="43"/>
        <v>-29.740414198553651</v>
      </c>
      <c r="O137" s="249">
        <f t="shared" si="43"/>
        <v>-28.966317730050434</v>
      </c>
      <c r="P137" s="249">
        <f t="shared" si="43"/>
        <v>-38.056827999431562</v>
      </c>
      <c r="Q137" s="249">
        <f t="shared" si="43"/>
        <v>-35.577355037163159</v>
      </c>
      <c r="R137" s="249">
        <f t="shared" si="43"/>
        <v>-37.387518248054704</v>
      </c>
      <c r="S137" s="249">
        <f t="shared" si="43"/>
        <v>-42.457267380463577</v>
      </c>
      <c r="T137" s="249">
        <f t="shared" si="43"/>
        <v>-43.683464928482778</v>
      </c>
      <c r="U137" s="249">
        <f t="shared" si="43"/>
        <v>-290.93406398420643</v>
      </c>
      <c r="W137" s="55" t="s">
        <v>32</v>
      </c>
      <c r="X137" s="250">
        <f t="shared" si="44"/>
        <v>-0.14118253386018431</v>
      </c>
      <c r="Y137" s="250">
        <f t="shared" si="44"/>
        <v>-0.11573522977942426</v>
      </c>
      <c r="Z137" s="250">
        <f t="shared" si="44"/>
        <v>-0.11147153522040978</v>
      </c>
      <c r="AA137" s="250">
        <f t="shared" si="44"/>
        <v>-0.14812434630852975</v>
      </c>
      <c r="AB137" s="250">
        <f t="shared" si="44"/>
        <v>-0.14665582297947719</v>
      </c>
      <c r="AC137" s="250">
        <f t="shared" si="44"/>
        <v>-0.15406715641301791</v>
      </c>
      <c r="AD137" s="250">
        <f t="shared" si="44"/>
        <v>-0.17437430259771242</v>
      </c>
      <c r="AE137" s="250">
        <f t="shared" si="44"/>
        <v>-0.17983706830786048</v>
      </c>
      <c r="AF137" s="250">
        <f t="shared" si="44"/>
        <v>-0.14592199496992098</v>
      </c>
    </row>
    <row r="138" spans="1:32">
      <c r="A138" s="57" t="s">
        <v>33</v>
      </c>
      <c r="B138" s="24">
        <f t="shared" ref="B138:I143" si="50">+M179</f>
        <v>0</v>
      </c>
      <c r="C138" s="95">
        <f t="shared" si="50"/>
        <v>0</v>
      </c>
      <c r="D138" s="95">
        <f t="shared" si="50"/>
        <v>0</v>
      </c>
      <c r="E138" s="95">
        <f t="shared" si="50"/>
        <v>0</v>
      </c>
      <c r="F138" s="95">
        <f t="shared" si="50"/>
        <v>0</v>
      </c>
      <c r="G138" s="95">
        <f t="shared" si="50"/>
        <v>0</v>
      </c>
      <c r="H138" s="95">
        <f t="shared" si="50"/>
        <v>0</v>
      </c>
      <c r="I138" s="97">
        <f t="shared" si="50"/>
        <v>0</v>
      </c>
      <c r="J138" s="97"/>
      <c r="K138" s="61"/>
      <c r="L138" s="57" t="s">
        <v>33</v>
      </c>
      <c r="M138" s="144"/>
      <c r="N138" s="144"/>
      <c r="O138" s="146"/>
      <c r="P138" s="144"/>
      <c r="Q138" s="144"/>
      <c r="R138" s="144"/>
      <c r="S138" s="144"/>
      <c r="T138" s="144"/>
      <c r="U138" s="60"/>
      <c r="W138" s="57" t="s">
        <v>33</v>
      </c>
      <c r="X138" s="251" t="e">
        <f t="shared" si="44"/>
        <v>#DIV/0!</v>
      </c>
      <c r="Y138" s="251" t="e">
        <f t="shared" si="44"/>
        <v>#DIV/0!</v>
      </c>
      <c r="Z138" s="252" t="e">
        <f t="shared" si="44"/>
        <v>#DIV/0!</v>
      </c>
      <c r="AA138" s="251" t="e">
        <f t="shared" si="44"/>
        <v>#DIV/0!</v>
      </c>
      <c r="AB138" s="251" t="e">
        <f t="shared" si="44"/>
        <v>#DIV/0!</v>
      </c>
      <c r="AC138" s="251" t="e">
        <f t="shared" si="44"/>
        <v>#DIV/0!</v>
      </c>
      <c r="AD138" s="251" t="e">
        <f t="shared" si="44"/>
        <v>#DIV/0!</v>
      </c>
      <c r="AE138" s="251" t="e">
        <f t="shared" si="44"/>
        <v>#DIV/0!</v>
      </c>
      <c r="AF138" s="253" t="e">
        <f t="shared" si="44"/>
        <v>#DIV/0!</v>
      </c>
    </row>
    <row r="139" spans="1:32">
      <c r="A139" s="40" t="s">
        <v>34</v>
      </c>
      <c r="B139" s="21">
        <f t="shared" si="50"/>
        <v>37.07169995355985</v>
      </c>
      <c r="C139" s="88">
        <f t="shared" si="50"/>
        <v>37.07169995355985</v>
      </c>
      <c r="D139" s="88">
        <f t="shared" si="50"/>
        <v>37.07169995355985</v>
      </c>
      <c r="E139" s="88">
        <f t="shared" si="50"/>
        <v>37.07169995355985</v>
      </c>
      <c r="F139" s="88">
        <f t="shared" si="50"/>
        <v>37.07169995355985</v>
      </c>
      <c r="G139" s="88">
        <f t="shared" si="50"/>
        <v>37.07169995355985</v>
      </c>
      <c r="H139" s="88">
        <f t="shared" si="50"/>
        <v>37.07169995355985</v>
      </c>
      <c r="I139" s="90">
        <f t="shared" si="50"/>
        <v>37.07169995355985</v>
      </c>
      <c r="J139" s="90">
        <f t="shared" si="46"/>
        <v>296.5735996284788</v>
      </c>
      <c r="K139" s="61"/>
      <c r="L139" s="40" t="s">
        <v>34</v>
      </c>
      <c r="M139" s="76">
        <f t="shared" ref="M139:U144" si="51">B39-B139</f>
        <v>9.8470887079587825</v>
      </c>
      <c r="N139" s="190">
        <f t="shared" si="51"/>
        <v>11.147300046440144</v>
      </c>
      <c r="O139" s="190">
        <f t="shared" si="51"/>
        <v>12.450002382047046</v>
      </c>
      <c r="P139" s="190">
        <f t="shared" si="51"/>
        <v>12.149335921926493</v>
      </c>
      <c r="Q139" s="190">
        <f t="shared" si="51"/>
        <v>12.036815808638032</v>
      </c>
      <c r="R139" s="190">
        <f t="shared" si="51"/>
        <v>9.5578723665815346</v>
      </c>
      <c r="S139" s="190">
        <f t="shared" si="51"/>
        <v>9.4556824622807767</v>
      </c>
      <c r="T139" s="254">
        <f t="shared" si="51"/>
        <v>9.464350374948971</v>
      </c>
      <c r="U139" s="255">
        <f t="shared" si="51"/>
        <v>86.108448070821794</v>
      </c>
      <c r="W139" s="40" t="s">
        <v>34</v>
      </c>
      <c r="X139" s="212">
        <f t="shared" si="44"/>
        <v>0.2656227990702974</v>
      </c>
      <c r="Y139" s="194">
        <f t="shared" si="44"/>
        <v>0.30069568054350071</v>
      </c>
      <c r="Z139" s="194">
        <f t="shared" si="44"/>
        <v>0.33583575605228</v>
      </c>
      <c r="AA139" s="194">
        <f t="shared" si="44"/>
        <v>0.32772535214587156</v>
      </c>
      <c r="AB139" s="194">
        <f t="shared" si="44"/>
        <v>0.32469014972921906</v>
      </c>
      <c r="AC139" s="194">
        <f t="shared" si="44"/>
        <v>0.25782125930439642</v>
      </c>
      <c r="AD139" s="194">
        <f t="shared" si="44"/>
        <v>0.25506471173768724</v>
      </c>
      <c r="AE139" s="256">
        <f t="shared" si="44"/>
        <v>0.25529852655273627</v>
      </c>
      <c r="AF139" s="230">
        <f t="shared" si="44"/>
        <v>0.29034427939199864</v>
      </c>
    </row>
    <row r="140" spans="1:32">
      <c r="A140" s="40" t="s">
        <v>35</v>
      </c>
      <c r="B140" s="24">
        <f t="shared" si="50"/>
        <v>10.551742770562916</v>
      </c>
      <c r="C140" s="95">
        <f t="shared" si="50"/>
        <v>10.559646697731875</v>
      </c>
      <c r="D140" s="95">
        <f t="shared" si="50"/>
        <v>10.437049827254956</v>
      </c>
      <c r="E140" s="95">
        <f t="shared" si="50"/>
        <v>10.437049827254956</v>
      </c>
      <c r="F140" s="95">
        <f t="shared" si="50"/>
        <v>10.437049827254956</v>
      </c>
      <c r="G140" s="95">
        <f t="shared" si="50"/>
        <v>10.437049827254956</v>
      </c>
      <c r="H140" s="95">
        <f t="shared" si="50"/>
        <v>10.437049827254956</v>
      </c>
      <c r="I140" s="97">
        <f t="shared" si="50"/>
        <v>10.437049827254956</v>
      </c>
      <c r="J140" s="97">
        <f t="shared" si="46"/>
        <v>83.733688431824518</v>
      </c>
      <c r="K140" s="61"/>
      <c r="L140" s="40" t="s">
        <v>35</v>
      </c>
      <c r="M140" s="189">
        <f t="shared" si="51"/>
        <v>-3.7623475624862204</v>
      </c>
      <c r="N140" s="190">
        <f t="shared" si="51"/>
        <v>-1.8916466977318755</v>
      </c>
      <c r="O140" s="190">
        <f t="shared" si="51"/>
        <v>-3.0227042517065223</v>
      </c>
      <c r="P140" s="190">
        <f t="shared" si="51"/>
        <v>-2.7359662795119055</v>
      </c>
      <c r="Q140" s="190">
        <f t="shared" si="51"/>
        <v>0.46946097809041021</v>
      </c>
      <c r="R140" s="190">
        <f t="shared" si="51"/>
        <v>-5.3544774868369061E-2</v>
      </c>
      <c r="S140" s="190">
        <f t="shared" si="51"/>
        <v>-0.32085127143026426</v>
      </c>
      <c r="T140" s="254">
        <f t="shared" si="51"/>
        <v>-0.64960044240569026</v>
      </c>
      <c r="U140" s="255">
        <f t="shared" si="51"/>
        <v>-11.967200302050429</v>
      </c>
      <c r="W140" s="40" t="s">
        <v>35</v>
      </c>
      <c r="X140" s="193">
        <f t="shared" si="44"/>
        <v>-0.3565617210630227</v>
      </c>
      <c r="Y140" s="194">
        <f t="shared" si="44"/>
        <v>-0.17913920341086656</v>
      </c>
      <c r="Z140" s="194">
        <f t="shared" si="44"/>
        <v>-0.28961289844694765</v>
      </c>
      <c r="AA140" s="194">
        <f t="shared" ref="AA140:AF144" si="52">P140/E140</f>
        <v>-0.2621398119962306</v>
      </c>
      <c r="AB140" s="194">
        <f t="shared" si="52"/>
        <v>4.4980237314233742E-2</v>
      </c>
      <c r="AC140" s="194">
        <f t="shared" si="52"/>
        <v>-5.1302595804941032E-3</v>
      </c>
      <c r="AD140" s="194">
        <f t="shared" si="52"/>
        <v>-3.0741567467887736E-2</v>
      </c>
      <c r="AE140" s="256">
        <f t="shared" si="52"/>
        <v>-6.2239852559613715E-2</v>
      </c>
      <c r="AF140" s="230">
        <f t="shared" si="52"/>
        <v>-0.14291977967498773</v>
      </c>
    </row>
    <row r="141" spans="1:32">
      <c r="A141" s="40" t="s">
        <v>36</v>
      </c>
      <c r="B141" s="24">
        <f t="shared" si="50"/>
        <v>11.829816141688939</v>
      </c>
      <c r="C141" s="95">
        <f t="shared" si="50"/>
        <v>11.500009410274204</v>
      </c>
      <c r="D141" s="95">
        <f t="shared" si="50"/>
        <v>11.250664523331579</v>
      </c>
      <c r="E141" s="95">
        <f t="shared" si="50"/>
        <v>10.885775245033271</v>
      </c>
      <c r="F141" s="95">
        <f t="shared" si="50"/>
        <v>10.718382258757359</v>
      </c>
      <c r="G141" s="95">
        <f t="shared" si="50"/>
        <v>10.576833038137481</v>
      </c>
      <c r="H141" s="95">
        <f t="shared" si="50"/>
        <v>10.401299420152192</v>
      </c>
      <c r="I141" s="97">
        <f t="shared" si="50"/>
        <v>10.193446414851252</v>
      </c>
      <c r="J141" s="97">
        <f t="shared" si="46"/>
        <v>87.356226452226281</v>
      </c>
      <c r="K141" s="61"/>
      <c r="L141" s="40" t="s">
        <v>36</v>
      </c>
      <c r="M141" s="189">
        <f t="shared" si="51"/>
        <v>-3.0586924098134478</v>
      </c>
      <c r="N141" s="190">
        <f t="shared" si="51"/>
        <v>-5.212482184006312</v>
      </c>
      <c r="O141" s="190">
        <f t="shared" si="51"/>
        <v>-5.3577522686120576</v>
      </c>
      <c r="P141" s="190">
        <f t="shared" si="51"/>
        <v>-5.1612322925299026</v>
      </c>
      <c r="Q141" s="190">
        <f t="shared" si="51"/>
        <v>-5.1725074114368512</v>
      </c>
      <c r="R141" s="190">
        <f t="shared" si="51"/>
        <v>-5.1948697969586028</v>
      </c>
      <c r="S141" s="190">
        <f t="shared" si="51"/>
        <v>-5.1380271648622564</v>
      </c>
      <c r="T141" s="254">
        <f t="shared" si="51"/>
        <v>-5.5355644037248357</v>
      </c>
      <c r="U141" s="255">
        <f t="shared" si="51"/>
        <v>-39.831127931944273</v>
      </c>
      <c r="W141" s="40" t="s">
        <v>36</v>
      </c>
      <c r="X141" s="193">
        <f t="shared" ref="X141:Z144" si="53">M141/B141</f>
        <v>-0.25855789922503047</v>
      </c>
      <c r="Y141" s="194">
        <f t="shared" si="53"/>
        <v>-0.45325894945350542</v>
      </c>
      <c r="Z141" s="194">
        <f t="shared" si="53"/>
        <v>-0.47621651658896896</v>
      </c>
      <c r="AA141" s="194">
        <f t="shared" si="52"/>
        <v>-0.47412629567974585</v>
      </c>
      <c r="AB141" s="194">
        <f t="shared" si="52"/>
        <v>-0.48258284567250809</v>
      </c>
      <c r="AC141" s="194">
        <f t="shared" si="52"/>
        <v>-0.49115550734583491</v>
      </c>
      <c r="AD141" s="194">
        <f t="shared" si="52"/>
        <v>-0.49397935366685913</v>
      </c>
      <c r="AE141" s="256">
        <f t="shared" si="52"/>
        <v>-0.54305130752047159</v>
      </c>
      <c r="AF141" s="230">
        <f t="shared" si="52"/>
        <v>-0.45596209394103437</v>
      </c>
    </row>
    <row r="142" spans="1:32">
      <c r="A142" s="63" t="s">
        <v>37</v>
      </c>
      <c r="B142" s="24">
        <f t="shared" si="50"/>
        <v>4.9026502855127099</v>
      </c>
      <c r="C142" s="119">
        <f t="shared" si="50"/>
        <v>4.9026502855127099</v>
      </c>
      <c r="D142" s="119">
        <f t="shared" si="50"/>
        <v>4.9026502855127099</v>
      </c>
      <c r="E142" s="119">
        <f t="shared" si="50"/>
        <v>4.9026502855127099</v>
      </c>
      <c r="F142" s="119">
        <f t="shared" si="50"/>
        <v>4.9026502855127099</v>
      </c>
      <c r="G142" s="119">
        <f t="shared" si="50"/>
        <v>4.9026502855127099</v>
      </c>
      <c r="H142" s="119">
        <f t="shared" si="50"/>
        <v>4.9026502855127099</v>
      </c>
      <c r="I142" s="257">
        <f t="shared" si="50"/>
        <v>4.9026502855127099</v>
      </c>
      <c r="J142" s="257">
        <f t="shared" si="46"/>
        <v>39.221202284101679</v>
      </c>
      <c r="K142" s="61"/>
      <c r="L142" s="63" t="s">
        <v>37</v>
      </c>
      <c r="M142" s="189">
        <f t="shared" si="51"/>
        <v>-4.0836198937751256E-2</v>
      </c>
      <c r="N142" s="220">
        <f t="shared" si="51"/>
        <v>3.8349714487289965E-2</v>
      </c>
      <c r="O142" s="220">
        <f t="shared" si="51"/>
        <v>1.9663662291532988</v>
      </c>
      <c r="P142" s="220">
        <f t="shared" si="51"/>
        <v>1.9663662291532971</v>
      </c>
      <c r="Q142" s="220">
        <f t="shared" si="51"/>
        <v>1.9663662291532988</v>
      </c>
      <c r="R142" s="220">
        <f t="shared" si="51"/>
        <v>1.9663662291532988</v>
      </c>
      <c r="S142" s="220">
        <f t="shared" si="51"/>
        <v>1.9663662291532988</v>
      </c>
      <c r="T142" s="258">
        <f t="shared" si="51"/>
        <v>1.9663662291532971</v>
      </c>
      <c r="U142" s="259">
        <f t="shared" si="51"/>
        <v>11.79571089046933</v>
      </c>
      <c r="W142" s="63" t="s">
        <v>37</v>
      </c>
      <c r="X142" s="193">
        <f t="shared" si="53"/>
        <v>-8.3294129826926213E-3</v>
      </c>
      <c r="Y142" s="223">
        <f t="shared" si="53"/>
        <v>7.8222414926500151E-3</v>
      </c>
      <c r="Z142" s="223">
        <f t="shared" si="53"/>
        <v>0.40108229521569067</v>
      </c>
      <c r="AA142" s="223">
        <f t="shared" si="52"/>
        <v>0.40108229521569033</v>
      </c>
      <c r="AB142" s="223">
        <f t="shared" si="52"/>
        <v>0.40108229521569067</v>
      </c>
      <c r="AC142" s="223">
        <f t="shared" si="52"/>
        <v>0.40108229521569067</v>
      </c>
      <c r="AD142" s="223">
        <f t="shared" si="52"/>
        <v>0.40108229521569067</v>
      </c>
      <c r="AE142" s="260">
        <f t="shared" si="52"/>
        <v>0.40108229521569033</v>
      </c>
      <c r="AF142" s="261">
        <f t="shared" si="52"/>
        <v>0.30074832497551263</v>
      </c>
    </row>
    <row r="143" spans="1:32">
      <c r="A143" s="65" t="s">
        <v>38</v>
      </c>
      <c r="B143" s="67">
        <f t="shared" si="50"/>
        <v>64.355909151324411</v>
      </c>
      <c r="C143" s="67">
        <f t="shared" si="50"/>
        <v>64.03400634707863</v>
      </c>
      <c r="D143" s="66">
        <f t="shared" si="50"/>
        <v>63.662064589659096</v>
      </c>
      <c r="E143" s="67">
        <f t="shared" si="50"/>
        <v>63.297175311360782</v>
      </c>
      <c r="F143" s="67">
        <f t="shared" si="50"/>
        <v>63.129782325084875</v>
      </c>
      <c r="G143" s="67">
        <f t="shared" si="50"/>
        <v>62.988233104464996</v>
      </c>
      <c r="H143" s="67">
        <f t="shared" si="50"/>
        <v>62.812699486479701</v>
      </c>
      <c r="I143" s="67">
        <f t="shared" si="50"/>
        <v>62.604846481178761</v>
      </c>
      <c r="J143" s="67">
        <f t="shared" ref="J143" si="54">SUM(J139:J142)</f>
        <v>506.88471679663132</v>
      </c>
      <c r="K143" s="61"/>
      <c r="L143" s="65" t="s">
        <v>38</v>
      </c>
      <c r="M143" s="60">
        <f t="shared" si="51"/>
        <v>2.9852125367213631</v>
      </c>
      <c r="N143" s="68">
        <f t="shared" si="51"/>
        <v>4.0815208791892559</v>
      </c>
      <c r="O143" s="66">
        <f t="shared" si="51"/>
        <v>6.0359120908817658</v>
      </c>
      <c r="P143" s="67">
        <f t="shared" si="51"/>
        <v>6.2185035790379928</v>
      </c>
      <c r="Q143" s="67">
        <f t="shared" si="51"/>
        <v>9.3001356044448897</v>
      </c>
      <c r="R143" s="67">
        <f t="shared" si="51"/>
        <v>6.2758240239078731</v>
      </c>
      <c r="S143" s="67">
        <f t="shared" si="51"/>
        <v>5.9631702551415628</v>
      </c>
      <c r="T143" s="67">
        <f t="shared" si="51"/>
        <v>5.2455517579717466</v>
      </c>
      <c r="U143" s="68">
        <f t="shared" si="51"/>
        <v>46.105830727296393</v>
      </c>
      <c r="W143" s="65" t="s">
        <v>38</v>
      </c>
      <c r="X143" s="253">
        <f t="shared" si="53"/>
        <v>4.6385989664166356E-2</v>
      </c>
      <c r="Y143" s="262">
        <f t="shared" si="53"/>
        <v>6.3739895596513205E-2</v>
      </c>
      <c r="Z143" s="263">
        <f t="shared" si="53"/>
        <v>9.4811755317501994E-2</v>
      </c>
      <c r="AA143" s="264">
        <f t="shared" si="52"/>
        <v>9.8242987123026884E-2</v>
      </c>
      <c r="AB143" s="264">
        <f t="shared" si="52"/>
        <v>0.14731772013016181</v>
      </c>
      <c r="AC143" s="264">
        <f t="shared" si="52"/>
        <v>9.9634863760974496E-2</v>
      </c>
      <c r="AD143" s="264">
        <f t="shared" si="52"/>
        <v>9.4935742356131697E-2</v>
      </c>
      <c r="AE143" s="264">
        <f t="shared" si="52"/>
        <v>8.3788269643768648E-2</v>
      </c>
      <c r="AF143" s="262">
        <f t="shared" si="52"/>
        <v>9.0959204725429996E-2</v>
      </c>
    </row>
    <row r="144" spans="1:32" ht="25.5">
      <c r="A144" s="65" t="s">
        <v>58</v>
      </c>
      <c r="B144" s="60">
        <f t="shared" ref="B144:J144" si="55">+B143+B137</f>
        <v>312.72160640345464</v>
      </c>
      <c r="C144" s="60">
        <f t="shared" si="55"/>
        <v>321.00342054563225</v>
      </c>
      <c r="D144" s="60">
        <f t="shared" si="55"/>
        <v>323.51600553320208</v>
      </c>
      <c r="E144" s="60">
        <f t="shared" si="55"/>
        <v>320.22204247777915</v>
      </c>
      <c r="F144" s="60">
        <f t="shared" si="55"/>
        <v>305.72059334349092</v>
      </c>
      <c r="G144" s="60">
        <f t="shared" si="55"/>
        <v>305.65850182694044</v>
      </c>
      <c r="H144" s="60">
        <f t="shared" si="55"/>
        <v>306.29621023297983</v>
      </c>
      <c r="I144" s="60">
        <f t="shared" si="55"/>
        <v>305.51063525717063</v>
      </c>
      <c r="J144" s="60">
        <f t="shared" si="55"/>
        <v>2500.6490156206496</v>
      </c>
      <c r="K144" s="61"/>
      <c r="L144" s="65" t="s">
        <v>39</v>
      </c>
      <c r="M144" s="60">
        <f t="shared" si="51"/>
        <v>-32.079685925285787</v>
      </c>
      <c r="N144" s="60">
        <f t="shared" si="51"/>
        <v>-25.658893319364381</v>
      </c>
      <c r="O144" s="60">
        <f t="shared" si="51"/>
        <v>-22.930405639168669</v>
      </c>
      <c r="P144" s="60">
        <f t="shared" si="51"/>
        <v>-31.838324420393576</v>
      </c>
      <c r="Q144" s="60">
        <f t="shared" si="51"/>
        <v>-26.277219432718312</v>
      </c>
      <c r="R144" s="60">
        <f t="shared" si="51"/>
        <v>-31.111694224146845</v>
      </c>
      <c r="S144" s="60">
        <f t="shared" si="51"/>
        <v>-36.494097125322014</v>
      </c>
      <c r="T144" s="60">
        <f t="shared" si="51"/>
        <v>-38.437913170511024</v>
      </c>
      <c r="U144" s="60">
        <f t="shared" si="51"/>
        <v>-244.82823325691015</v>
      </c>
      <c r="W144" s="65" t="s">
        <v>39</v>
      </c>
      <c r="X144" s="253">
        <f t="shared" si="53"/>
        <v>-0.10258224973396467</v>
      </c>
      <c r="Y144" s="253">
        <f t="shared" si="53"/>
        <v>-7.993339533812488E-2</v>
      </c>
      <c r="Z144" s="253">
        <f t="shared" si="53"/>
        <v>-7.0878736281922067E-2</v>
      </c>
      <c r="AA144" s="253">
        <f t="shared" si="52"/>
        <v>-9.9425773984946397E-2</v>
      </c>
      <c r="AB144" s="253">
        <f t="shared" si="52"/>
        <v>-8.5951748115295157E-2</v>
      </c>
      <c r="AC144" s="253">
        <f t="shared" si="52"/>
        <v>-0.10178579701919055</v>
      </c>
      <c r="AD144" s="253">
        <f t="shared" si="52"/>
        <v>-0.11914642070681612</v>
      </c>
      <c r="AE144" s="253">
        <f t="shared" si="52"/>
        <v>-0.12581530308480104</v>
      </c>
      <c r="AF144" s="253">
        <f t="shared" si="52"/>
        <v>-9.7905876325528593E-2</v>
      </c>
    </row>
    <row r="145" spans="1:21">
      <c r="B145" s="69">
        <v>-1.5821445566928674</v>
      </c>
      <c r="C145" s="69">
        <v>0</v>
      </c>
      <c r="D145" s="69">
        <v>5.6843418860808015E-14</v>
      </c>
      <c r="E145" s="69">
        <v>5.6843418860808015E-14</v>
      </c>
      <c r="F145" s="69">
        <v>5.6843418860808015E-14</v>
      </c>
      <c r="G145" s="69">
        <v>5.6843418860808015E-14</v>
      </c>
      <c r="H145" s="69">
        <v>5.6843418860808015E-14</v>
      </c>
      <c r="I145" s="69">
        <v>5.6843418860808015E-14</v>
      </c>
      <c r="J145" s="69">
        <v>-1.5821445566925831</v>
      </c>
      <c r="K145" s="61"/>
      <c r="L145" s="61"/>
      <c r="M145" s="69">
        <v>0.93513357316516021</v>
      </c>
      <c r="N145" s="61"/>
      <c r="O145" s="61"/>
      <c r="P145" s="61"/>
      <c r="Q145" s="61"/>
      <c r="R145" s="61"/>
      <c r="S145" s="61"/>
      <c r="T145" s="61"/>
      <c r="U145" s="61"/>
    </row>
    <row r="146" spans="1:21">
      <c r="B146" s="69"/>
      <c r="C146" s="61"/>
      <c r="D146" s="70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</row>
    <row r="147" spans="1:21">
      <c r="B147" s="69"/>
      <c r="C147" s="61"/>
      <c r="D147" s="70"/>
      <c r="E147" s="61"/>
      <c r="F147" s="61"/>
      <c r="G147" s="61"/>
      <c r="H147" s="61"/>
      <c r="I147" s="61"/>
      <c r="J147" s="61"/>
      <c r="K147" s="61"/>
      <c r="L147" s="8" t="s">
        <v>59</v>
      </c>
      <c r="M147" s="61"/>
      <c r="N147" s="61"/>
      <c r="O147" s="61"/>
      <c r="P147" s="61"/>
      <c r="Q147" s="61"/>
      <c r="R147" s="61"/>
      <c r="S147" s="61"/>
      <c r="T147" s="61"/>
      <c r="U147" s="61"/>
    </row>
    <row r="148" spans="1:21">
      <c r="A148" s="8" t="s">
        <v>60</v>
      </c>
      <c r="B148" s="69"/>
      <c r="C148" s="61"/>
      <c r="D148" s="70"/>
      <c r="E148" s="61"/>
      <c r="F148" s="61"/>
      <c r="G148" s="61"/>
      <c r="H148" s="61"/>
      <c r="I148" s="61"/>
      <c r="J148" s="61"/>
      <c r="K148" s="61"/>
      <c r="L148" s="8" t="s">
        <v>60</v>
      </c>
      <c r="M148" s="61"/>
      <c r="N148" s="61"/>
      <c r="O148" s="61"/>
      <c r="P148" s="61"/>
      <c r="Q148" s="61"/>
      <c r="R148" s="61"/>
      <c r="S148" s="61"/>
      <c r="T148" s="61"/>
      <c r="U148" s="61"/>
    </row>
    <row r="149" spans="1:21">
      <c r="A149" s="9" t="s">
        <v>61</v>
      </c>
      <c r="B149" s="69"/>
      <c r="C149" s="61"/>
      <c r="D149" s="70"/>
      <c r="E149" s="61"/>
      <c r="F149" s="61"/>
      <c r="G149" s="61"/>
      <c r="H149" s="61"/>
      <c r="I149" s="61"/>
      <c r="J149" s="61"/>
      <c r="K149" s="61"/>
      <c r="L149" s="265" t="str">
        <f>+$A$3&amp;" "&amp;"prices"</f>
        <v>2014/15 prices</v>
      </c>
      <c r="M149" s="61"/>
      <c r="N149" s="61"/>
      <c r="O149" s="61"/>
      <c r="P149" s="61"/>
      <c r="Q149" s="61"/>
      <c r="R149" s="61"/>
      <c r="S149" s="61"/>
      <c r="T149" s="61"/>
      <c r="U149" s="61"/>
    </row>
    <row r="150" spans="1:21">
      <c r="A150" s="10"/>
      <c r="B150" s="177"/>
      <c r="C150" s="178"/>
      <c r="D150" s="179"/>
      <c r="E150" s="178"/>
      <c r="F150" s="178"/>
      <c r="G150" s="178"/>
      <c r="H150" s="178"/>
      <c r="I150" s="178"/>
      <c r="J150" s="180"/>
      <c r="K150" s="61"/>
      <c r="L150" s="10"/>
      <c r="M150" s="177"/>
      <c r="N150" s="178"/>
      <c r="O150" s="179"/>
      <c r="P150" s="178"/>
      <c r="Q150" s="178"/>
      <c r="R150" s="178"/>
      <c r="S150" s="178"/>
      <c r="T150" s="178"/>
      <c r="U150" s="180"/>
    </row>
    <row r="151" spans="1:21">
      <c r="A151" s="12"/>
      <c r="B151" s="461" t="s">
        <v>56</v>
      </c>
      <c r="C151" s="462"/>
      <c r="D151" s="462"/>
      <c r="E151" s="462"/>
      <c r="F151" s="462"/>
      <c r="G151" s="462"/>
      <c r="H151" s="462"/>
      <c r="I151" s="462"/>
      <c r="J151" s="463"/>
      <c r="K151" s="61"/>
      <c r="L151" s="12"/>
      <c r="M151" s="461" t="s">
        <v>56</v>
      </c>
      <c r="N151" s="462"/>
      <c r="O151" s="462"/>
      <c r="P151" s="462"/>
      <c r="Q151" s="462"/>
      <c r="R151" s="462"/>
      <c r="S151" s="462"/>
      <c r="T151" s="462"/>
      <c r="U151" s="463"/>
    </row>
    <row r="152" spans="1:21" ht="25.5">
      <c r="A152" s="14" t="s">
        <v>4</v>
      </c>
      <c r="B152" s="266">
        <v>2014</v>
      </c>
      <c r="C152" s="16">
        <v>2015</v>
      </c>
      <c r="D152" s="16">
        <v>2016</v>
      </c>
      <c r="E152" s="17">
        <v>2017</v>
      </c>
      <c r="F152" s="16">
        <v>2018</v>
      </c>
      <c r="G152" s="17">
        <v>2019</v>
      </c>
      <c r="H152" s="16">
        <v>2020</v>
      </c>
      <c r="I152" s="18">
        <v>2021</v>
      </c>
      <c r="J152" s="19" t="s">
        <v>5</v>
      </c>
      <c r="K152" s="61"/>
      <c r="L152" s="14" t="s">
        <v>4</v>
      </c>
      <c r="M152" s="266">
        <v>2014</v>
      </c>
      <c r="N152" s="16">
        <v>2015</v>
      </c>
      <c r="O152" s="16">
        <v>2016</v>
      </c>
      <c r="P152" s="17">
        <v>2017</v>
      </c>
      <c r="Q152" s="16">
        <v>2018</v>
      </c>
      <c r="R152" s="17">
        <v>2019</v>
      </c>
      <c r="S152" s="16">
        <v>2020</v>
      </c>
      <c r="T152" s="18">
        <v>2021</v>
      </c>
      <c r="U152" s="19" t="s">
        <v>5</v>
      </c>
    </row>
    <row r="153" spans="1:21">
      <c r="A153" s="20" t="s">
        <v>6</v>
      </c>
      <c r="B153" s="21">
        <v>10.475318426509387</v>
      </c>
      <c r="C153" s="88">
        <v>11.20343429646744</v>
      </c>
      <c r="D153" s="88">
        <v>18.035613574540658</v>
      </c>
      <c r="E153" s="88">
        <v>14.966751071356189</v>
      </c>
      <c r="F153" s="88">
        <v>12.713333039596648</v>
      </c>
      <c r="G153" s="88">
        <v>12.970697309873398</v>
      </c>
      <c r="H153" s="88">
        <v>10.238757315395111</v>
      </c>
      <c r="I153" s="90">
        <v>10.647923605969664</v>
      </c>
      <c r="J153" s="23">
        <f>SUM(B153:I153)</f>
        <v>101.25182863970849</v>
      </c>
      <c r="K153" s="61"/>
      <c r="L153" s="20" t="s">
        <v>6</v>
      </c>
      <c r="M153" s="21">
        <f>VLOOKUP($A$3,'[6]Universal data'!$B$30:$F$41,5,FALSE)*B153</f>
        <v>12.460982453752486</v>
      </c>
      <c r="N153" s="88">
        <f>VLOOKUP($A$3,'[6]Universal data'!$B$30:$F$41,5,FALSE)*C153</f>
        <v>13.327117373039075</v>
      </c>
      <c r="O153" s="88">
        <f>VLOOKUP($A$3,'[6]Universal data'!$B$30:$F$41,5,FALSE)*D153</f>
        <v>21.45438020540443</v>
      </c>
      <c r="P153" s="88">
        <f>VLOOKUP($A$3,'[6]Universal data'!$B$30:$F$41,5,FALSE)*E153</f>
        <v>17.803795063440074</v>
      </c>
      <c r="Q153" s="88">
        <f>VLOOKUP($A$3,'[6]Universal data'!$B$30:$F$41,5,FALSE)*F153</f>
        <v>15.123227140687018</v>
      </c>
      <c r="R153" s="88">
        <f>VLOOKUP($A$3,'[6]Universal data'!$B$30:$F$41,5,FALSE)*G153</f>
        <v>15.42937646479974</v>
      </c>
      <c r="S153" s="88">
        <f>VLOOKUP($A$3,'[6]Universal data'!$B$30:$F$41,5,FALSE)*H153</f>
        <v>12.179579661511308</v>
      </c>
      <c r="T153" s="90">
        <f>VLOOKUP($A$3,'[6]Universal data'!$B$30:$F$41,5,FALSE)*I153</f>
        <v>12.666306055872141</v>
      </c>
      <c r="U153" s="23">
        <f>SUM(M153:T153)</f>
        <v>120.44476441850628</v>
      </c>
    </row>
    <row r="154" spans="1:21">
      <c r="A154" s="20" t="s">
        <v>7</v>
      </c>
      <c r="B154" s="24">
        <v>5.3447971840883621</v>
      </c>
      <c r="C154" s="95">
        <v>5.2640590853883502</v>
      </c>
      <c r="D154" s="95">
        <v>5.4155751028624239</v>
      </c>
      <c r="E154" s="95">
        <v>5.4159750321568758</v>
      </c>
      <c r="F154" s="95">
        <v>5.3494294740391455</v>
      </c>
      <c r="G154" s="95">
        <v>5.471423819019237</v>
      </c>
      <c r="H154" s="95">
        <v>5.5877292921675021</v>
      </c>
      <c r="I154" s="97">
        <v>5.6482258392725804</v>
      </c>
      <c r="J154" s="26">
        <f t="shared" ref="J154:J159" si="56">SUM(B154:I154)</f>
        <v>43.497214828994473</v>
      </c>
      <c r="K154" s="61"/>
      <c r="L154" s="20" t="s">
        <v>7</v>
      </c>
      <c r="M154" s="24">
        <f>VLOOKUP($A$3,'[6]Universal data'!$B$30:$F$41,5,FALSE)*B154</f>
        <v>6.3579378896249814</v>
      </c>
      <c r="N154" s="95">
        <f>VLOOKUP($A$3,'[6]Universal data'!$B$30:$F$41,5,FALSE)*C154</f>
        <v>6.2618953646832907</v>
      </c>
      <c r="O154" s="95">
        <f>VLOOKUP($A$3,'[6]Universal data'!$B$30:$F$41,5,FALSE)*D154</f>
        <v>6.4421322184317091</v>
      </c>
      <c r="P154" s="95">
        <f>VLOOKUP($A$3,'[6]Universal data'!$B$30:$F$41,5,FALSE)*E154</f>
        <v>6.4426079568978825</v>
      </c>
      <c r="Q154" s="95">
        <f>VLOOKUP($A$3,'[6]Universal data'!$B$30:$F$41,5,FALSE)*F154</f>
        <v>6.3634482599495081</v>
      </c>
      <c r="R154" s="95">
        <f>VLOOKUP($A$3,'[6]Universal data'!$B$30:$F$41,5,FALSE)*G154</f>
        <v>6.5085674181802426</v>
      </c>
      <c r="S154" s="95">
        <f>VLOOKUP($A$3,'[6]Universal data'!$B$30:$F$41,5,FALSE)*H154</f>
        <v>6.6469193423096602</v>
      </c>
      <c r="T154" s="97">
        <f>VLOOKUP($A$3,'[6]Universal data'!$B$30:$F$41,5,FALSE)*I154</f>
        <v>6.7188833992762982</v>
      </c>
      <c r="U154" s="26">
        <f t="shared" ref="U154:U159" si="57">SUM(M154:T154)</f>
        <v>51.742391849353574</v>
      </c>
    </row>
    <row r="155" spans="1:21">
      <c r="A155" s="20" t="s">
        <v>8</v>
      </c>
      <c r="B155" s="24">
        <v>4.2007796543568379</v>
      </c>
      <c r="C155" s="95">
        <v>4.192372921281045</v>
      </c>
      <c r="D155" s="95">
        <v>4.1266985439721768</v>
      </c>
      <c r="E155" s="95">
        <v>4.1210494498946373</v>
      </c>
      <c r="F155" s="95">
        <v>4.0263096816044843</v>
      </c>
      <c r="G155" s="95">
        <v>3.8520142510516542</v>
      </c>
      <c r="H155" s="95">
        <v>3.8457319921654869</v>
      </c>
      <c r="I155" s="97">
        <v>3.7118633127018006</v>
      </c>
      <c r="J155" s="26">
        <f t="shared" si="56"/>
        <v>32.076819807028123</v>
      </c>
      <c r="K155" s="61"/>
      <c r="L155" s="20" t="s">
        <v>8</v>
      </c>
      <c r="M155" s="24">
        <f>VLOOKUP($A$3,'[6]Universal data'!$B$30:$F$41,5,FALSE)*B155</f>
        <v>4.9970644741979271</v>
      </c>
      <c r="N155" s="95">
        <f>VLOOKUP($A$3,'[6]Universal data'!$B$30:$F$41,5,FALSE)*C155</f>
        <v>4.987064190761604</v>
      </c>
      <c r="O155" s="95">
        <f>VLOOKUP($A$3,'[6]Universal data'!$B$30:$F$41,5,FALSE)*D155</f>
        <v>4.9089408125513598</v>
      </c>
      <c r="P155" s="95">
        <f>VLOOKUP($A$3,'[6]Universal data'!$B$30:$F$41,5,FALSE)*E155</f>
        <v>4.9022208963336649</v>
      </c>
      <c r="Q155" s="95">
        <f>VLOOKUP($A$3,'[6]Universal data'!$B$30:$F$41,5,FALSE)*F155</f>
        <v>4.7895225952158098</v>
      </c>
      <c r="R155" s="95">
        <f>VLOOKUP($A$3,'[6]Universal data'!$B$30:$F$41,5,FALSE)*G155</f>
        <v>4.5821883440304951</v>
      </c>
      <c r="S155" s="95">
        <f>VLOOKUP($A$3,'[6]Universal data'!$B$30:$F$41,5,FALSE)*H155</f>
        <v>4.5747152425396278</v>
      </c>
      <c r="T155" s="97">
        <f>VLOOKUP($A$3,'[6]Universal data'!$B$30:$F$41,5,FALSE)*I155</f>
        <v>4.4154708933003208</v>
      </c>
      <c r="U155" s="26">
        <f t="shared" si="57"/>
        <v>38.157187448930813</v>
      </c>
    </row>
    <row r="156" spans="1:21">
      <c r="A156" s="20" t="s">
        <v>9</v>
      </c>
      <c r="B156" s="24">
        <v>1.3650520436820188</v>
      </c>
      <c r="C156" s="95">
        <v>1.357541240267923</v>
      </c>
      <c r="D156" s="95">
        <v>1.3606276401450261</v>
      </c>
      <c r="E156" s="95">
        <v>1.3559057957250125</v>
      </c>
      <c r="F156" s="95">
        <v>1.3603697395603795</v>
      </c>
      <c r="G156" s="95">
        <v>1.3704433499690221</v>
      </c>
      <c r="H156" s="95">
        <v>1.3262553734459712</v>
      </c>
      <c r="I156" s="97">
        <v>1.3508349604845777</v>
      </c>
      <c r="J156" s="26">
        <f t="shared" si="56"/>
        <v>10.84703014327993</v>
      </c>
      <c r="K156" s="61"/>
      <c r="L156" s="20" t="s">
        <v>9</v>
      </c>
      <c r="M156" s="24">
        <f>VLOOKUP($A$3,'[6]Universal data'!$B$30:$F$41,5,FALSE)*B156</f>
        <v>1.6238064440823579</v>
      </c>
      <c r="N156" s="95">
        <f>VLOOKUP($A$3,'[6]Universal data'!$B$30:$F$41,5,FALSE)*C156</f>
        <v>1.6148719195413392</v>
      </c>
      <c r="O156" s="95">
        <f>VLOOKUP($A$3,'[6]Universal data'!$B$30:$F$41,5,FALSE)*D156</f>
        <v>1.6185433663793196</v>
      </c>
      <c r="P156" s="95">
        <f>VLOOKUP($A$3,'[6]Universal data'!$B$30:$F$41,5,FALSE)*E156</f>
        <v>1.6129264659595446</v>
      </c>
      <c r="Q156" s="95">
        <f>VLOOKUP($A$3,'[6]Universal data'!$B$30:$F$41,5,FALSE)*F156</f>
        <v>1.6182365790789965</v>
      </c>
      <c r="R156" s="95">
        <f>VLOOKUP($A$3,'[6]Universal data'!$B$30:$F$41,5,FALSE)*G156</f>
        <v>1.6302197071746893</v>
      </c>
      <c r="S156" s="95">
        <f>VLOOKUP($A$3,'[6]Universal data'!$B$30:$F$41,5,FALSE)*H156</f>
        <v>1.5776556153064059</v>
      </c>
      <c r="T156" s="97">
        <f>VLOOKUP($A$3,'[6]Universal data'!$B$30:$F$41,5,FALSE)*I156</f>
        <v>1.6068944212632208</v>
      </c>
      <c r="U156" s="26">
        <f t="shared" si="57"/>
        <v>12.903154518785872</v>
      </c>
    </row>
    <row r="157" spans="1:21">
      <c r="A157" s="20" t="s">
        <v>10</v>
      </c>
      <c r="B157" s="24">
        <v>22.707897655855842</v>
      </c>
      <c r="C157" s="95">
        <v>25.522532376341779</v>
      </c>
      <c r="D157" s="95">
        <v>21.252535171379467</v>
      </c>
      <c r="E157" s="95">
        <v>20.822226606755645</v>
      </c>
      <c r="F157" s="95">
        <v>12.195977556571762</v>
      </c>
      <c r="G157" s="95">
        <v>12.402467162120342</v>
      </c>
      <c r="H157" s="95">
        <v>15.004987938459779</v>
      </c>
      <c r="I157" s="97">
        <v>15.223449625171774</v>
      </c>
      <c r="J157" s="26">
        <f t="shared" si="56"/>
        <v>145.13207409265641</v>
      </c>
      <c r="K157" s="61"/>
      <c r="L157" s="20" t="s">
        <v>10</v>
      </c>
      <c r="M157" s="24">
        <f>VLOOKUP($A$3,'[6]Universal data'!$B$30:$F$41,5,FALSE)*B157</f>
        <v>27.012325805308851</v>
      </c>
      <c r="N157" s="95">
        <f>VLOOKUP($A$3,'[6]Universal data'!$B$30:$F$41,5,FALSE)*C157</f>
        <v>30.360492652145695</v>
      </c>
      <c r="O157" s="95">
        <f>VLOOKUP($A$3,'[6]Universal data'!$B$30:$F$41,5,FALSE)*D157</f>
        <v>25.281089995138565</v>
      </c>
      <c r="P157" s="95">
        <f>VLOOKUP($A$3,'[6]Universal data'!$B$30:$F$41,5,FALSE)*E157</f>
        <v>24.769213672610046</v>
      </c>
      <c r="Q157" s="95">
        <f>VLOOKUP($A$3,'[6]Universal data'!$B$30:$F$41,5,FALSE)*F157</f>
        <v>14.507803596137647</v>
      </c>
      <c r="R157" s="95">
        <f>VLOOKUP($A$3,'[6]Universal data'!$B$30:$F$41,5,FALSE)*G157</f>
        <v>14.753434635391937</v>
      </c>
      <c r="S157" s="95">
        <f>VLOOKUP($A$3,'[6]Universal data'!$B$30:$F$41,5,FALSE)*H157</f>
        <v>17.8492799747969</v>
      </c>
      <c r="T157" s="97">
        <f>VLOOKUP($A$3,'[6]Universal data'!$B$30:$F$41,5,FALSE)*I157</f>
        <v>18.109152480251847</v>
      </c>
      <c r="U157" s="26">
        <f t="shared" si="57"/>
        <v>172.64279281178148</v>
      </c>
    </row>
    <row r="158" spans="1:21">
      <c r="A158" s="27" t="s">
        <v>11</v>
      </c>
      <c r="B158" s="28">
        <v>4.7036452627445193</v>
      </c>
      <c r="C158" s="102">
        <v>4.5507319527376762</v>
      </c>
      <c r="D158" s="102">
        <v>3.2959870877374238</v>
      </c>
      <c r="E158" s="102">
        <v>8.9723360142941733</v>
      </c>
      <c r="F158" s="102">
        <v>3.7816612486051122</v>
      </c>
      <c r="G158" s="102">
        <v>2.7887308117844753</v>
      </c>
      <c r="H158" s="102">
        <v>4.5824937944207011</v>
      </c>
      <c r="I158" s="104">
        <v>3.7855622323870692</v>
      </c>
      <c r="J158" s="29">
        <f t="shared" si="56"/>
        <v>36.461148404711153</v>
      </c>
      <c r="K158" s="61"/>
      <c r="L158" s="27" t="s">
        <v>11</v>
      </c>
      <c r="M158" s="28">
        <f>VLOOKUP($A$3,'[6]Universal data'!$B$30:$F$41,5,FALSE)*B158</f>
        <v>5.5952514951152956</v>
      </c>
      <c r="N158" s="102">
        <f>VLOOKUP($A$3,'[6]Universal data'!$B$30:$F$41,5,FALSE)*C158</f>
        <v>5.4133524830414999</v>
      </c>
      <c r="O158" s="102">
        <f>VLOOKUP($A$3,'[6]Universal data'!$B$30:$F$41,5,FALSE)*D158</f>
        <v>3.9207626533007125</v>
      </c>
      <c r="P158" s="102">
        <f>VLOOKUP($A$3,'[6]Universal data'!$B$30:$F$41,5,FALSE)*E158</f>
        <v>10.67310005205702</v>
      </c>
      <c r="Q158" s="102">
        <f>VLOOKUP($A$3,'[6]Universal data'!$B$30:$F$41,5,FALSE)*F158</f>
        <v>4.4984994771759448</v>
      </c>
      <c r="R158" s="102">
        <f>VLOOKUP($A$3,'[6]Universal data'!$B$30:$F$41,5,FALSE)*G158</f>
        <v>3.3173526855225983</v>
      </c>
      <c r="S158" s="102">
        <f>VLOOKUP($A$3,'[6]Universal data'!$B$30:$F$41,5,FALSE)*H158</f>
        <v>5.4511349862358127</v>
      </c>
      <c r="T158" s="104">
        <f>VLOOKUP($A$3,'[6]Universal data'!$B$30:$F$41,5,FALSE)*I158</f>
        <v>4.5031399175406337</v>
      </c>
      <c r="U158" s="29">
        <f t="shared" si="57"/>
        <v>43.37259374998952</v>
      </c>
    </row>
    <row r="159" spans="1:21">
      <c r="A159" s="27" t="s">
        <v>12</v>
      </c>
      <c r="B159" s="28">
        <v>4.4304733380956707</v>
      </c>
      <c r="C159" s="109">
        <v>4.4216279191653918</v>
      </c>
      <c r="D159" s="109">
        <v>6.0984420897612761</v>
      </c>
      <c r="E159" s="109">
        <v>0.38794475789882171</v>
      </c>
      <c r="F159" s="109">
        <v>0.32788399841435067</v>
      </c>
      <c r="G159" s="109">
        <v>2.2753911082459997</v>
      </c>
      <c r="H159" s="109">
        <v>3.2042679176468911</v>
      </c>
      <c r="I159" s="110">
        <v>2.7319566307874519</v>
      </c>
      <c r="J159" s="29">
        <f t="shared" si="56"/>
        <v>23.877987760015852</v>
      </c>
      <c r="K159" s="61"/>
      <c r="L159" s="27" t="s">
        <v>12</v>
      </c>
      <c r="M159" s="28">
        <f>VLOOKUP($A$3,'[6]Universal data'!$B$30:$F$41,5,FALSE)*B159</f>
        <v>5.2702980740056535</v>
      </c>
      <c r="N159" s="109">
        <f>VLOOKUP($A$3,'[6]Universal data'!$B$30:$F$41,5,FALSE)*C159</f>
        <v>5.2597759489877296</v>
      </c>
      <c r="O159" s="109">
        <f>VLOOKUP($A$3,'[6]Universal data'!$B$30:$F$41,5,FALSE)*D159</f>
        <v>7.2544410376519073</v>
      </c>
      <c r="P159" s="109">
        <f>VLOOKUP($A$3,'[6]Universal data'!$B$30:$F$41,5,FALSE)*E159</f>
        <v>0.46148218358392462</v>
      </c>
      <c r="Q159" s="109">
        <f>VLOOKUP($A$3,'[6]Universal data'!$B$30:$F$41,5,FALSE)*F159</f>
        <v>0.39003652058612387</v>
      </c>
      <c r="R159" s="109">
        <f>VLOOKUP($A$3,'[6]Universal data'!$B$30:$F$41,5,FALSE)*G159</f>
        <v>2.706706137306977</v>
      </c>
      <c r="S159" s="109">
        <f>VLOOKUP($A$3,'[6]Universal data'!$B$30:$F$41,5,FALSE)*H159</f>
        <v>3.8116575242118866</v>
      </c>
      <c r="T159" s="110">
        <f>VLOOKUP($A$3,'[6]Universal data'!$B$30:$F$41,5,FALSE)*I159</f>
        <v>3.2498165931170693</v>
      </c>
      <c r="U159" s="29">
        <f t="shared" si="57"/>
        <v>28.404214019451274</v>
      </c>
    </row>
    <row r="160" spans="1:21">
      <c r="A160" s="31" t="s">
        <v>13</v>
      </c>
      <c r="B160" s="32">
        <f>SUM(B153:B157)</f>
        <v>44.093844964492448</v>
      </c>
      <c r="C160" s="32">
        <f t="shared" ref="C160:I160" si="58">SUM(C153:C157)</f>
        <v>47.539939919746537</v>
      </c>
      <c r="D160" s="33">
        <f t="shared" si="58"/>
        <v>50.191050032899753</v>
      </c>
      <c r="E160" s="33">
        <f t="shared" si="58"/>
        <v>46.681907955888363</v>
      </c>
      <c r="F160" s="33">
        <f t="shared" si="58"/>
        <v>35.645419491372422</v>
      </c>
      <c r="G160" s="33">
        <f t="shared" si="58"/>
        <v>36.067045892033647</v>
      </c>
      <c r="H160" s="33">
        <f t="shared" si="58"/>
        <v>36.003461911633849</v>
      </c>
      <c r="I160" s="33">
        <f t="shared" si="58"/>
        <v>36.582297343600395</v>
      </c>
      <c r="J160" s="32">
        <f>SUM(B160:I160)</f>
        <v>332.80496751166737</v>
      </c>
      <c r="K160" s="61"/>
      <c r="L160" s="31" t="s">
        <v>13</v>
      </c>
      <c r="M160" s="32">
        <f>VLOOKUP($A$3,'[6]Universal data'!$B$30:$F$41,5,FALSE)*B160</f>
        <v>52.452117066966601</v>
      </c>
      <c r="N160" s="32">
        <f>VLOOKUP($A$3,'[6]Universal data'!$B$30:$F$41,5,FALSE)*C160</f>
        <v>56.551441500171002</v>
      </c>
      <c r="O160" s="33">
        <f>VLOOKUP($A$3,'[6]Universal data'!$B$30:$F$41,5,FALSE)*D160</f>
        <v>59.705086597905385</v>
      </c>
      <c r="P160" s="33">
        <f>VLOOKUP($A$3,'[6]Universal data'!$B$30:$F$41,5,FALSE)*E160</f>
        <v>55.530764055241214</v>
      </c>
      <c r="Q160" s="33">
        <f>VLOOKUP($A$3,'[6]Universal data'!$B$30:$F$41,5,FALSE)*F160</f>
        <v>42.40223817106898</v>
      </c>
      <c r="R160" s="33">
        <f>VLOOKUP($A$3,'[6]Universal data'!$B$30:$F$41,5,FALSE)*G160</f>
        <v>42.9037865695771</v>
      </c>
      <c r="S160" s="33">
        <f>VLOOKUP($A$3,'[6]Universal data'!$B$30:$F$41,5,FALSE)*H160</f>
        <v>42.828149836463901</v>
      </c>
      <c r="T160" s="33">
        <f>VLOOKUP($A$3,'[6]Universal data'!$B$30:$F$41,5,FALSE)*I160</f>
        <v>43.516707249963822</v>
      </c>
      <c r="U160" s="32">
        <f>SUM(M160:T160)</f>
        <v>395.89029104735801</v>
      </c>
    </row>
    <row r="161" spans="1:21">
      <c r="A161" s="20" t="s">
        <v>14</v>
      </c>
      <c r="B161" s="24"/>
      <c r="C161" s="95"/>
      <c r="D161" s="95"/>
      <c r="E161" s="95"/>
      <c r="F161" s="95"/>
      <c r="G161" s="95"/>
      <c r="H161" s="95"/>
      <c r="I161" s="97"/>
      <c r="J161" s="26">
        <f>SUM(B161:I161)</f>
        <v>0</v>
      </c>
      <c r="K161" s="61"/>
      <c r="L161" s="20" t="s">
        <v>14</v>
      </c>
      <c r="M161" s="24">
        <f>VLOOKUP($A$3,'[6]Universal data'!$B$30:$F$41,5,FALSE)*B161</f>
        <v>0</v>
      </c>
      <c r="N161" s="95">
        <f>VLOOKUP($A$3,'[6]Universal data'!$B$30:$F$41,5,FALSE)*C161</f>
        <v>0</v>
      </c>
      <c r="O161" s="95">
        <f>VLOOKUP($A$3,'[6]Universal data'!$B$30:$F$41,5,FALSE)*D161</f>
        <v>0</v>
      </c>
      <c r="P161" s="95">
        <f>VLOOKUP($A$3,'[6]Universal data'!$B$30:$F$41,5,FALSE)*E161</f>
        <v>0</v>
      </c>
      <c r="Q161" s="95">
        <f>VLOOKUP($A$3,'[6]Universal data'!$B$30:$F$41,5,FALSE)*F161</f>
        <v>0</v>
      </c>
      <c r="R161" s="95">
        <f>VLOOKUP($A$3,'[6]Universal data'!$B$30:$F$41,5,FALSE)*G161</f>
        <v>0</v>
      </c>
      <c r="S161" s="95">
        <f>VLOOKUP($A$3,'[6]Universal data'!$B$30:$F$41,5,FALSE)*H161</f>
        <v>0</v>
      </c>
      <c r="T161" s="97">
        <f>VLOOKUP($A$3,'[6]Universal data'!$B$30:$F$41,5,FALSE)*I161</f>
        <v>0</v>
      </c>
      <c r="U161" s="34">
        <f>SUM(M161:T161)</f>
        <v>0</v>
      </c>
    </row>
    <row r="162" spans="1:21">
      <c r="A162" s="20" t="s">
        <v>15</v>
      </c>
      <c r="B162" s="24"/>
      <c r="C162" s="95"/>
      <c r="D162" s="95"/>
      <c r="E162" s="95"/>
      <c r="F162" s="95"/>
      <c r="G162" s="95"/>
      <c r="H162" s="95"/>
      <c r="I162" s="97"/>
      <c r="J162" s="26">
        <f>SUM(B162:I162)</f>
        <v>0</v>
      </c>
      <c r="K162" s="61"/>
      <c r="L162" s="20" t="s">
        <v>15</v>
      </c>
      <c r="M162" s="24">
        <f>VLOOKUP($A$3,'[6]Universal data'!$B$30:$F$41,5,FALSE)*B162</f>
        <v>0</v>
      </c>
      <c r="N162" s="95">
        <f>VLOOKUP($A$3,'[6]Universal data'!$B$30:$F$41,5,FALSE)*C162</f>
        <v>0</v>
      </c>
      <c r="O162" s="95">
        <f>VLOOKUP($A$3,'[6]Universal data'!$B$30:$F$41,5,FALSE)*D162</f>
        <v>0</v>
      </c>
      <c r="P162" s="95">
        <f>VLOOKUP($A$3,'[6]Universal data'!$B$30:$F$41,5,FALSE)*E162</f>
        <v>0</v>
      </c>
      <c r="Q162" s="95">
        <f>VLOOKUP($A$3,'[6]Universal data'!$B$30:$F$41,5,FALSE)*F162</f>
        <v>0</v>
      </c>
      <c r="R162" s="95">
        <f>VLOOKUP($A$3,'[6]Universal data'!$B$30:$F$41,5,FALSE)*G162</f>
        <v>0</v>
      </c>
      <c r="S162" s="95">
        <f>VLOOKUP($A$3,'[6]Universal data'!$B$30:$F$41,5,FALSE)*H162</f>
        <v>0</v>
      </c>
      <c r="T162" s="97">
        <f>VLOOKUP($A$3,'[6]Universal data'!$B$30:$F$41,5,FALSE)*I162</f>
        <v>0</v>
      </c>
      <c r="U162" s="35">
        <f>SUM(M162:T162)</f>
        <v>0</v>
      </c>
    </row>
    <row r="163" spans="1:21">
      <c r="A163" s="20" t="s">
        <v>51</v>
      </c>
      <c r="B163" s="24"/>
      <c r="C163" s="95"/>
      <c r="D163" s="95"/>
      <c r="E163" s="95"/>
      <c r="F163" s="95"/>
      <c r="G163" s="95"/>
      <c r="H163" s="95"/>
      <c r="I163" s="97"/>
      <c r="J163" s="26">
        <f>SUM(B163:I163)</f>
        <v>0</v>
      </c>
      <c r="K163" s="61"/>
      <c r="L163" s="20" t="s">
        <v>51</v>
      </c>
      <c r="M163" s="24">
        <f>VLOOKUP($A$3,'[6]Universal data'!$B$30:$F$41,5,FALSE)*B163</f>
        <v>0</v>
      </c>
      <c r="N163" s="95">
        <f>VLOOKUP($A$3,'[6]Universal data'!$B$30:$F$41,5,FALSE)*C163</f>
        <v>0</v>
      </c>
      <c r="O163" s="95">
        <f>VLOOKUP($A$3,'[6]Universal data'!$B$30:$F$41,5,FALSE)*D163</f>
        <v>0</v>
      </c>
      <c r="P163" s="95">
        <f>VLOOKUP($A$3,'[6]Universal data'!$B$30:$F$41,5,FALSE)*E163</f>
        <v>0</v>
      </c>
      <c r="Q163" s="95">
        <f>VLOOKUP($A$3,'[6]Universal data'!$B$30:$F$41,5,FALSE)*F163</f>
        <v>0</v>
      </c>
      <c r="R163" s="95">
        <f>VLOOKUP($A$3,'[6]Universal data'!$B$30:$F$41,5,FALSE)*G163</f>
        <v>0</v>
      </c>
      <c r="S163" s="95">
        <f>VLOOKUP($A$3,'[6]Universal data'!$B$30:$F$41,5,FALSE)*H163</f>
        <v>0</v>
      </c>
      <c r="T163" s="97">
        <f>VLOOKUP($A$3,'[6]Universal data'!$B$30:$F$41,5,FALSE)*I163</f>
        <v>0</v>
      </c>
      <c r="U163" s="37">
        <f>SUM(M163:T163)</f>
        <v>0</v>
      </c>
    </row>
    <row r="164" spans="1:21">
      <c r="A164" s="31" t="s">
        <v>17</v>
      </c>
      <c r="B164" s="225">
        <v>83.034919528542503</v>
      </c>
      <c r="C164" s="226">
        <v>84.572463440399119</v>
      </c>
      <c r="D164" s="226">
        <v>83.962858426248218</v>
      </c>
      <c r="E164" s="226">
        <v>84.892914279120944</v>
      </c>
      <c r="F164" s="226">
        <v>85.310287649046501</v>
      </c>
      <c r="G164" s="226">
        <v>85.159257155632091</v>
      </c>
      <c r="H164" s="226">
        <v>86.073392089172046</v>
      </c>
      <c r="I164" s="227">
        <v>85.860400186043393</v>
      </c>
      <c r="J164" s="228">
        <f>SUM(B164:I164)</f>
        <v>678.86649275420484</v>
      </c>
      <c r="K164" s="61"/>
      <c r="L164" s="31" t="s">
        <v>17</v>
      </c>
      <c r="M164" s="267">
        <f>VLOOKUP($A$3,'[6]Universal data'!$B$30:$F$41,5,FALSE)*B164</f>
        <v>98.774722940685066</v>
      </c>
      <c r="N164" s="226">
        <f>VLOOKUP($A$3,'[6]Universal data'!$B$30:$F$41,5,FALSE)*C164</f>
        <v>100.60371819671792</v>
      </c>
      <c r="O164" s="226">
        <f>VLOOKUP($A$3,'[6]Universal data'!$B$30:$F$41,5,FALSE)*D164</f>
        <v>99.878558628696553</v>
      </c>
      <c r="P164" s="226">
        <f>VLOOKUP($A$3,'[6]Universal data'!$B$30:$F$41,5,FALSE)*E164</f>
        <v>100.98491255435174</v>
      </c>
      <c r="Q164" s="226">
        <f>VLOOKUP($A$3,'[6]Universal data'!$B$30:$F$41,5,FALSE)*F164</f>
        <v>101.48140173277559</v>
      </c>
      <c r="R164" s="226">
        <f>VLOOKUP($A$3,'[6]Universal data'!$B$30:$F$41,5,FALSE)*G164</f>
        <v>101.30174243729719</v>
      </c>
      <c r="S164" s="226">
        <f>VLOOKUP($A$3,'[6]Universal data'!$B$30:$F$41,5,FALSE)*H164</f>
        <v>102.38915753089252</v>
      </c>
      <c r="T164" s="227">
        <f>VLOOKUP($A$3,'[6]Universal data'!$B$30:$F$41,5,FALSE)*I164</f>
        <v>102.13579164170285</v>
      </c>
      <c r="U164" s="33">
        <f>SUM(M164:T164)</f>
        <v>807.55000566311946</v>
      </c>
    </row>
    <row r="165" spans="1:21">
      <c r="A165" s="40" t="s">
        <v>18</v>
      </c>
      <c r="B165" s="24">
        <v>17.89821657284562</v>
      </c>
      <c r="C165" s="95">
        <v>17.862128662901846</v>
      </c>
      <c r="D165" s="95">
        <v>17.841079631002415</v>
      </c>
      <c r="E165" s="95">
        <v>17.800607297045563</v>
      </c>
      <c r="F165" s="95">
        <v>17.754742490676165</v>
      </c>
      <c r="G165" s="95">
        <v>17.690149902195234</v>
      </c>
      <c r="H165" s="95">
        <v>17.63373381112384</v>
      </c>
      <c r="I165" s="97">
        <v>17.571645223760278</v>
      </c>
      <c r="J165" s="26">
        <f t="shared" ref="J165:J177" si="59">SUM(B165:I165)</f>
        <v>142.05230359155095</v>
      </c>
      <c r="K165" s="61"/>
      <c r="L165" s="40" t="s">
        <v>18</v>
      </c>
      <c r="M165" s="24">
        <f>VLOOKUP($A$3,'[6]Universal data'!$B$30:$F$41,5,FALSE)*B165</f>
        <v>21.290938717746418</v>
      </c>
      <c r="N165" s="95">
        <f>VLOOKUP($A$3,'[6]Universal data'!$B$30:$F$41,5,FALSE)*C165</f>
        <v>21.248010112209812</v>
      </c>
      <c r="O165" s="95">
        <f>VLOOKUP($A$3,'[6]Universal data'!$B$30:$F$41,5,FALSE)*D165</f>
        <v>21.222971100841576</v>
      </c>
      <c r="P165" s="95">
        <f>VLOOKUP($A$3,'[6]Universal data'!$B$30:$F$41,5,FALSE)*E165</f>
        <v>21.174826975501912</v>
      </c>
      <c r="Q165" s="95">
        <f>VLOOKUP($A$3,'[6]Universal data'!$B$30:$F$41,5,FALSE)*F165</f>
        <v>21.120268199897772</v>
      </c>
      <c r="R165" s="95">
        <f>VLOOKUP($A$3,'[6]Universal data'!$B$30:$F$41,5,FALSE)*G165</f>
        <v>21.04343167055023</v>
      </c>
      <c r="S165" s="95">
        <f>VLOOKUP($A$3,'[6]Universal data'!$B$30:$F$41,5,FALSE)*H165</f>
        <v>20.976321546320413</v>
      </c>
      <c r="T165" s="97">
        <f>VLOOKUP($A$3,'[6]Universal data'!$B$30:$F$41,5,FALSE)*I165</f>
        <v>20.902463667617873</v>
      </c>
      <c r="U165" s="42">
        <f t="shared" ref="U165:U177" si="60">SUM(M165:T165)</f>
        <v>168.979231990686</v>
      </c>
    </row>
    <row r="166" spans="1:21">
      <c r="A166" s="40" t="s">
        <v>19</v>
      </c>
      <c r="B166" s="24">
        <v>13.23625284010221</v>
      </c>
      <c r="C166" s="95">
        <v>13.207044532723822</v>
      </c>
      <c r="D166" s="95">
        <v>13.102490043571866</v>
      </c>
      <c r="E166" s="95">
        <v>12.975813218839159</v>
      </c>
      <c r="F166" s="95">
        <v>12.881096327348136</v>
      </c>
      <c r="G166" s="95">
        <v>12.800774362946267</v>
      </c>
      <c r="H166" s="95">
        <v>12.739888920065987</v>
      </c>
      <c r="I166" s="97">
        <v>12.676417654536575</v>
      </c>
      <c r="J166" s="26">
        <f t="shared" si="59"/>
        <v>103.61977790013404</v>
      </c>
      <c r="K166" s="61"/>
      <c r="L166" s="40" t="s">
        <v>19</v>
      </c>
      <c r="M166" s="24">
        <f>VLOOKUP($A$3,'[6]Universal data'!$B$30:$F$41,5,FALSE)*B166</f>
        <v>15.745269754907659</v>
      </c>
      <c r="N166" s="95">
        <f>VLOOKUP($A$3,'[6]Universal data'!$B$30:$F$41,5,FALSE)*C166</f>
        <v>15.710524824880059</v>
      </c>
      <c r="O166" s="95">
        <f>VLOOKUP($A$3,'[6]Universal data'!$B$30:$F$41,5,FALSE)*D166</f>
        <v>15.586151359393174</v>
      </c>
      <c r="P166" s="95">
        <f>VLOOKUP($A$3,'[6]Universal data'!$B$30:$F$41,5,FALSE)*E166</f>
        <v>15.435462127236121</v>
      </c>
      <c r="Q166" s="95">
        <f>VLOOKUP($A$3,'[6]Universal data'!$B$30:$F$41,5,FALSE)*F166</f>
        <v>15.322791039361906</v>
      </c>
      <c r="R166" s="95">
        <f>VLOOKUP($A$3,'[6]Universal data'!$B$30:$F$41,5,FALSE)*G166</f>
        <v>15.227243529652826</v>
      </c>
      <c r="S166" s="95">
        <f>VLOOKUP($A$3,'[6]Universal data'!$B$30:$F$41,5,FALSE)*H166</f>
        <v>15.154816859213851</v>
      </c>
      <c r="T166" s="97">
        <f>VLOOKUP($A$3,'[6]Universal data'!$B$30:$F$41,5,FALSE)*I166</f>
        <v>15.079314206800159</v>
      </c>
      <c r="U166" s="42">
        <f t="shared" si="60"/>
        <v>123.26157370144576</v>
      </c>
    </row>
    <row r="167" spans="1:21">
      <c r="A167" s="40" t="s">
        <v>20</v>
      </c>
      <c r="B167" s="24">
        <v>14.620082872414955</v>
      </c>
      <c r="C167" s="95">
        <v>14.358978136851771</v>
      </c>
      <c r="D167" s="95">
        <v>14.040168320284888</v>
      </c>
      <c r="E167" s="95">
        <v>13.678083259303467</v>
      </c>
      <c r="F167" s="95">
        <v>13.284914558589794</v>
      </c>
      <c r="G167" s="95">
        <v>12.92055451327597</v>
      </c>
      <c r="H167" s="95">
        <v>12.504457018930815</v>
      </c>
      <c r="I167" s="97">
        <v>12.039277410333526</v>
      </c>
      <c r="J167" s="26">
        <f t="shared" si="59"/>
        <v>107.4465160899852</v>
      </c>
      <c r="K167" s="61"/>
      <c r="L167" s="40" t="s">
        <v>20</v>
      </c>
      <c r="M167" s="24">
        <f>VLOOKUP($A$3,'[6]Universal data'!$B$30:$F$41,5,FALSE)*B167</f>
        <v>17.391413676221458</v>
      </c>
      <c r="N167" s="95">
        <f>VLOOKUP($A$3,'[6]Universal data'!$B$30:$F$41,5,FALSE)*C167</f>
        <v>17.080814857553499</v>
      </c>
      <c r="O167" s="95">
        <f>VLOOKUP($A$3,'[6]Universal data'!$B$30:$F$41,5,FALSE)*D167</f>
        <v>16.701572588385766</v>
      </c>
      <c r="P167" s="95">
        <f>VLOOKUP($A$3,'[6]Universal data'!$B$30:$F$41,5,FALSE)*E167</f>
        <v>16.270851973703806</v>
      </c>
      <c r="Q167" s="95">
        <f>VLOOKUP($A$3,'[6]Universal data'!$B$30:$F$41,5,FALSE)*F167</f>
        <v>15.803155615323005</v>
      </c>
      <c r="R167" s="95">
        <f>VLOOKUP($A$3,'[6]Universal data'!$B$30:$F$41,5,FALSE)*G167</f>
        <v>15.369728778386561</v>
      </c>
      <c r="S167" s="95">
        <f>VLOOKUP($A$3,'[6]Universal data'!$B$30:$F$41,5,FALSE)*H167</f>
        <v>14.87475732597095</v>
      </c>
      <c r="T167" s="97">
        <f>VLOOKUP($A$3,'[6]Universal data'!$B$30:$F$41,5,FALSE)*I167</f>
        <v>14.321399928652593</v>
      </c>
      <c r="U167" s="42">
        <f t="shared" si="60"/>
        <v>127.81369474419763</v>
      </c>
    </row>
    <row r="168" spans="1:21">
      <c r="A168" s="40" t="s">
        <v>21</v>
      </c>
      <c r="B168" s="24">
        <v>7.4367170518813843</v>
      </c>
      <c r="C168" s="95">
        <v>7.3899751074876701</v>
      </c>
      <c r="D168" s="95">
        <v>7.3393395445193121</v>
      </c>
      <c r="E168" s="95">
        <v>7.2962568305736379</v>
      </c>
      <c r="F168" s="95">
        <v>7.2643030465763516</v>
      </c>
      <c r="G168" s="95">
        <v>7.2400178591078106</v>
      </c>
      <c r="H168" s="95">
        <v>7.2620628555286189</v>
      </c>
      <c r="I168" s="97">
        <v>7.3257542785231813</v>
      </c>
      <c r="J168" s="26">
        <f t="shared" si="59"/>
        <v>58.554426574197961</v>
      </c>
      <c r="K168" s="61"/>
      <c r="L168" s="40" t="s">
        <v>21</v>
      </c>
      <c r="M168" s="24">
        <f>VLOOKUP($A$3,'[6]Universal data'!$B$30:$F$41,5,FALSE)*B168</f>
        <v>8.846394632024106</v>
      </c>
      <c r="N168" s="95">
        <f>VLOOKUP($A$3,'[6]Universal data'!$B$30:$F$41,5,FALSE)*C168</f>
        <v>8.7907924512378521</v>
      </c>
      <c r="O168" s="95">
        <f>VLOOKUP($A$3,'[6]Universal data'!$B$30:$F$41,5,FALSE)*D168</f>
        <v>8.7305585914166723</v>
      </c>
      <c r="P168" s="95">
        <f>VLOOKUP($A$3,'[6]Universal data'!$B$30:$F$41,5,FALSE)*E168</f>
        <v>8.6793092717608147</v>
      </c>
      <c r="Q168" s="95">
        <f>VLOOKUP($A$3,'[6]Universal data'!$B$30:$F$41,5,FALSE)*F168</f>
        <v>8.6412984423512249</v>
      </c>
      <c r="R168" s="95">
        <f>VLOOKUP($A$3,'[6]Universal data'!$B$30:$F$41,5,FALSE)*G168</f>
        <v>8.6124098412977457</v>
      </c>
      <c r="S168" s="95">
        <f>VLOOKUP($A$3,'[6]Universal data'!$B$30:$F$41,5,FALSE)*H168</f>
        <v>8.6386336086724498</v>
      </c>
      <c r="T168" s="97">
        <f>VLOOKUP($A$3,'[6]Universal data'!$B$30:$F$41,5,FALSE)*I168</f>
        <v>8.7143981508157502</v>
      </c>
      <c r="U168" s="42">
        <f t="shared" si="60"/>
        <v>69.653794989576625</v>
      </c>
    </row>
    <row r="169" spans="1:21">
      <c r="A169" s="40" t="s">
        <v>22</v>
      </c>
      <c r="B169" s="24">
        <v>0</v>
      </c>
      <c r="C169" s="95">
        <v>0</v>
      </c>
      <c r="D169" s="95">
        <v>0</v>
      </c>
      <c r="E169" s="95">
        <v>0</v>
      </c>
      <c r="F169" s="95">
        <v>0</v>
      </c>
      <c r="G169" s="95">
        <v>0</v>
      </c>
      <c r="H169" s="95">
        <v>0</v>
      </c>
      <c r="I169" s="97">
        <v>0</v>
      </c>
      <c r="J169" s="26">
        <f t="shared" si="59"/>
        <v>0</v>
      </c>
      <c r="K169" s="61"/>
      <c r="L169" s="40" t="s">
        <v>22</v>
      </c>
      <c r="M169" s="24">
        <f>VLOOKUP($A$3,'[6]Universal data'!$B$30:$F$41,5,FALSE)*B169</f>
        <v>0</v>
      </c>
      <c r="N169" s="95">
        <f>VLOOKUP($A$3,'[6]Universal data'!$B$30:$F$41,5,FALSE)*C169</f>
        <v>0</v>
      </c>
      <c r="O169" s="95">
        <f>VLOOKUP($A$3,'[6]Universal data'!$B$30:$F$41,5,FALSE)*D169</f>
        <v>0</v>
      </c>
      <c r="P169" s="95">
        <f>VLOOKUP($A$3,'[6]Universal data'!$B$30:$F$41,5,FALSE)*E169</f>
        <v>0</v>
      </c>
      <c r="Q169" s="95">
        <f>VLOOKUP($A$3,'[6]Universal data'!$B$30:$F$41,5,FALSE)*F169</f>
        <v>0</v>
      </c>
      <c r="R169" s="95">
        <f>VLOOKUP($A$3,'[6]Universal data'!$B$30:$F$41,5,FALSE)*G169</f>
        <v>0</v>
      </c>
      <c r="S169" s="95">
        <f>VLOOKUP($A$3,'[6]Universal data'!$B$30:$F$41,5,FALSE)*H169</f>
        <v>0</v>
      </c>
      <c r="T169" s="97">
        <f>VLOOKUP($A$3,'[6]Universal data'!$B$30:$F$41,5,FALSE)*I169</f>
        <v>0</v>
      </c>
      <c r="U169" s="42">
        <f t="shared" si="60"/>
        <v>0</v>
      </c>
    </row>
    <row r="170" spans="1:21">
      <c r="A170" s="40" t="s">
        <v>24</v>
      </c>
      <c r="B170" s="24">
        <v>9.8190185584044762</v>
      </c>
      <c r="C170" s="95">
        <v>10.419595338829485</v>
      </c>
      <c r="D170" s="95">
        <v>11.027087416649016</v>
      </c>
      <c r="E170" s="95">
        <v>11.551888061265183</v>
      </c>
      <c r="F170" s="95">
        <v>10.676331782378897</v>
      </c>
      <c r="G170" s="95">
        <v>10.994456078754315</v>
      </c>
      <c r="H170" s="95">
        <v>11.244988855106561</v>
      </c>
      <c r="I170" s="97">
        <v>11.165405538103993</v>
      </c>
      <c r="J170" s="26">
        <f t="shared" si="59"/>
        <v>86.898771629491918</v>
      </c>
      <c r="K170" s="61"/>
      <c r="L170" s="40" t="s">
        <v>24</v>
      </c>
      <c r="M170" s="24">
        <f>VLOOKUP($A$3,'[6]Universal data'!$B$30:$F$41,5,FALSE)*B170</f>
        <v>11.680276721680482</v>
      </c>
      <c r="N170" s="95">
        <f>VLOOKUP($A$3,'[6]Universal data'!$B$30:$F$41,5,FALSE)*C170</f>
        <v>12.394696696167209</v>
      </c>
      <c r="O170" s="95">
        <f>VLOOKUP($A$3,'[6]Universal data'!$B$30:$F$41,5,FALSE)*D170</f>
        <v>13.117342807176676</v>
      </c>
      <c r="P170" s="95">
        <f>VLOOKUP($A$3,'[6]Universal data'!$B$30:$F$41,5,FALSE)*E170</f>
        <v>13.741622791614263</v>
      </c>
      <c r="Q170" s="95">
        <f>VLOOKUP($A$3,'[6]Universal data'!$B$30:$F$41,5,FALSE)*F170</f>
        <v>12.700099184955713</v>
      </c>
      <c r="R170" s="95">
        <f>VLOOKUP($A$3,'[6]Universal data'!$B$30:$F$41,5,FALSE)*G170</f>
        <v>13.078525989167657</v>
      </c>
      <c r="S170" s="95">
        <f>VLOOKUP($A$3,'[6]Universal data'!$B$30:$F$41,5,FALSE)*H170</f>
        <v>13.376548865714764</v>
      </c>
      <c r="T170" s="97">
        <f>VLOOKUP($A$3,'[6]Universal data'!$B$30:$F$41,5,FALSE)*I170</f>
        <v>13.281880018773482</v>
      </c>
      <c r="U170" s="42">
        <f t="shared" si="60"/>
        <v>103.37099307525024</v>
      </c>
    </row>
    <row r="171" spans="1:21">
      <c r="A171" s="27" t="s">
        <v>57</v>
      </c>
      <c r="B171" s="28">
        <v>4.3360000000000003</v>
      </c>
      <c r="C171" s="109">
        <v>4.2060000000000004</v>
      </c>
      <c r="D171" s="109">
        <v>4.7530000000000001</v>
      </c>
      <c r="E171" s="109">
        <v>5.2110000000000003</v>
      </c>
      <c r="F171" s="109">
        <v>4.2699999999999996</v>
      </c>
      <c r="G171" s="109">
        <v>4.5190000000000001</v>
      </c>
      <c r="H171" s="109">
        <v>4.6980000000000004</v>
      </c>
      <c r="I171" s="110">
        <v>4.5529999999999999</v>
      </c>
      <c r="J171" s="29">
        <f t="shared" si="59"/>
        <v>36.545999999999999</v>
      </c>
      <c r="K171" s="61"/>
      <c r="L171" s="27" t="s">
        <v>57</v>
      </c>
      <c r="M171" s="28">
        <f>VLOOKUP($A$3,'[6]Universal data'!$B$30:$F$41,5,FALSE)*B171</f>
        <v>5.1579167066403988</v>
      </c>
      <c r="N171" s="109">
        <f>VLOOKUP($A$3,'[6]Universal data'!$B$30:$F$41,5,FALSE)*C171</f>
        <v>5.0032743699560696</v>
      </c>
      <c r="O171" s="109">
        <f>VLOOKUP($A$3,'[6]Universal data'!$B$30:$F$41,5,FALSE)*D171</f>
        <v>5.6539617404662854</v>
      </c>
      <c r="P171" s="109">
        <f>VLOOKUP($A$3,'[6]Universal data'!$B$30:$F$41,5,FALSE)*E171</f>
        <v>6.1987785881695379</v>
      </c>
      <c r="Q171" s="109">
        <f>VLOOKUP($A$3,'[6]Universal data'!$B$30:$F$41,5,FALSE)*F171</f>
        <v>5.0794059818621999</v>
      </c>
      <c r="R171" s="109">
        <f>VLOOKUP($A$3,'[6]Universal data'!$B$30:$F$41,5,FALSE)*G171</f>
        <v>5.3756055344344924</v>
      </c>
      <c r="S171" s="109">
        <f>VLOOKUP($A$3,'[6]Universal data'!$B$30:$F$41,5,FALSE)*H171</f>
        <v>5.5885361364844544</v>
      </c>
      <c r="T171" s="110">
        <f>VLOOKUP($A$3,'[6]Universal data'!$B$30:$F$41,5,FALSE)*I171</f>
        <v>5.4160504532596248</v>
      </c>
      <c r="U171" s="44">
        <f t="shared" si="60"/>
        <v>43.473529511273064</v>
      </c>
    </row>
    <row r="172" spans="1:21">
      <c r="A172" s="45" t="s">
        <v>26</v>
      </c>
      <c r="B172" s="32">
        <f>SUM(B165:B170)</f>
        <v>63.010287895648645</v>
      </c>
      <c r="C172" s="32">
        <f t="shared" ref="C172:I172" si="61">SUM(C165:C170)</f>
        <v>63.237721778794594</v>
      </c>
      <c r="D172" s="33">
        <f t="shared" si="61"/>
        <v>63.350164956027498</v>
      </c>
      <c r="E172" s="33">
        <f t="shared" si="61"/>
        <v>63.302648667027007</v>
      </c>
      <c r="F172" s="33">
        <f t="shared" si="61"/>
        <v>61.861388205569341</v>
      </c>
      <c r="G172" s="33">
        <f t="shared" si="61"/>
        <v>61.645952716279595</v>
      </c>
      <c r="H172" s="33">
        <f t="shared" si="61"/>
        <v>61.385131460755822</v>
      </c>
      <c r="I172" s="33">
        <f t="shared" si="61"/>
        <v>60.77850010525755</v>
      </c>
      <c r="J172" s="32">
        <f t="shared" si="59"/>
        <v>498.57179578536</v>
      </c>
      <c r="K172" s="61"/>
      <c r="L172" s="45" t="s">
        <v>26</v>
      </c>
      <c r="M172" s="32">
        <f>VLOOKUP($A$3,'[6]Universal data'!$B$30:$F$41,5,FALSE)*B172</f>
        <v>74.954293502580128</v>
      </c>
      <c r="N172" s="32">
        <f>VLOOKUP($A$3,'[6]Universal data'!$B$30:$F$41,5,FALSE)*C172</f>
        <v>75.224838942048436</v>
      </c>
      <c r="O172" s="33">
        <f>VLOOKUP($A$3,'[6]Universal data'!$B$30:$F$41,5,FALSE)*D172</f>
        <v>75.35859644721387</v>
      </c>
      <c r="P172" s="33">
        <f>VLOOKUP($A$3,'[6]Universal data'!$B$30:$F$41,5,FALSE)*E172</f>
        <v>75.302073139816912</v>
      </c>
      <c r="Q172" s="33">
        <f>VLOOKUP($A$3,'[6]Universal data'!$B$30:$F$41,5,FALSE)*F172</f>
        <v>73.587612481889622</v>
      </c>
      <c r="R172" s="33">
        <f>VLOOKUP($A$3,'[6]Universal data'!$B$30:$F$41,5,FALSE)*G172</f>
        <v>73.331339809055024</v>
      </c>
      <c r="S172" s="33">
        <f>VLOOKUP($A$3,'[6]Universal data'!$B$30:$F$41,5,FALSE)*H172</f>
        <v>73.021078205892422</v>
      </c>
      <c r="T172" s="33">
        <f>VLOOKUP($A$3,'[6]Universal data'!$B$30:$F$41,5,FALSE)*I172</f>
        <v>72.299455972659857</v>
      </c>
      <c r="U172" s="46">
        <f t="shared" si="60"/>
        <v>593.07928850115627</v>
      </c>
    </row>
    <row r="173" spans="1:21">
      <c r="A173" s="40" t="s">
        <v>27</v>
      </c>
      <c r="B173" s="24">
        <v>16.856603666902767</v>
      </c>
      <c r="C173" s="95">
        <v>16.97941950663887</v>
      </c>
      <c r="D173" s="95">
        <v>17.0635597030677</v>
      </c>
      <c r="E173" s="95">
        <v>17.112387337843668</v>
      </c>
      <c r="F173" s="95">
        <v>17.160084474453871</v>
      </c>
      <c r="G173" s="95">
        <v>17.208399093456993</v>
      </c>
      <c r="H173" s="95">
        <v>17.252761586684336</v>
      </c>
      <c r="I173" s="97">
        <v>17.300395453755957</v>
      </c>
      <c r="J173" s="26">
        <f t="shared" si="59"/>
        <v>136.93361082280416</v>
      </c>
      <c r="K173" s="61"/>
      <c r="L173" s="40" t="s">
        <v>27</v>
      </c>
      <c r="M173" s="24">
        <f>VLOOKUP($A$3,'[6]Universal data'!$B$30:$F$41,5,FALSE)*B173</f>
        <v>20.05188138162675</v>
      </c>
      <c r="N173" s="95">
        <f>VLOOKUP($A$3,'[6]Universal data'!$B$30:$F$41,5,FALSE)*C173</f>
        <v>20.197977754231665</v>
      </c>
      <c r="O173" s="95">
        <f>VLOOKUP($A$3,'[6]Universal data'!$B$30:$F$41,5,FALSE)*D173</f>
        <v>20.298067266422684</v>
      </c>
      <c r="P173" s="95">
        <f>VLOOKUP($A$3,'[6]Universal data'!$B$30:$F$41,5,FALSE)*E173</f>
        <v>20.356150493626721</v>
      </c>
      <c r="Q173" s="95">
        <f>VLOOKUP($A$3,'[6]Universal data'!$B$30:$F$41,5,FALSE)*F173</f>
        <v>20.412888929461747</v>
      </c>
      <c r="R173" s="95">
        <f>VLOOKUP($A$3,'[6]Universal data'!$B$30:$F$41,5,FALSE)*G173</f>
        <v>20.470361895451408</v>
      </c>
      <c r="S173" s="95">
        <f>VLOOKUP($A$3,'[6]Universal data'!$B$30:$F$41,5,FALSE)*H173</f>
        <v>20.523133584788479</v>
      </c>
      <c r="T173" s="97">
        <f>VLOOKUP($A$3,'[6]Universal data'!$B$30:$F$41,5,FALSE)*I173</f>
        <v>20.579796757936681</v>
      </c>
      <c r="U173" s="49">
        <f t="shared" si="60"/>
        <v>162.89025806354613</v>
      </c>
    </row>
    <row r="174" spans="1:21">
      <c r="A174" s="40" t="s">
        <v>28</v>
      </c>
      <c r="B174" s="24">
        <v>2.8972602862862304</v>
      </c>
      <c r="C174" s="95">
        <v>3.4660528781503528</v>
      </c>
      <c r="D174" s="95">
        <v>3.6528403152061228</v>
      </c>
      <c r="E174" s="95">
        <v>3.7682908444262773</v>
      </c>
      <c r="F174" s="95">
        <v>3.7310524093005175</v>
      </c>
      <c r="G174" s="95">
        <v>3.6943734499895116</v>
      </c>
      <c r="H174" s="95">
        <v>3.7439327441787649</v>
      </c>
      <c r="I174" s="97">
        <v>3.451425029375033</v>
      </c>
      <c r="J174" s="26">
        <f t="shared" si="59"/>
        <v>28.405227956912814</v>
      </c>
      <c r="K174" s="61"/>
      <c r="L174" s="40" t="s">
        <v>28</v>
      </c>
      <c r="M174" s="24">
        <f>VLOOKUP($A$3,'[6]Universal data'!$B$30:$F$41,5,FALSE)*B174</f>
        <v>3.4464546204154729</v>
      </c>
      <c r="N174" s="95">
        <f>VLOOKUP($A$3,'[6]Universal data'!$B$30:$F$41,5,FALSE)*C174</f>
        <v>4.123065508835503</v>
      </c>
      <c r="O174" s="95">
        <f>VLOOKUP($A$3,'[6]Universal data'!$B$30:$F$41,5,FALSE)*D174</f>
        <v>4.3452597067553596</v>
      </c>
      <c r="P174" s="95">
        <f>VLOOKUP($A$3,'[6]Universal data'!$B$30:$F$41,5,FALSE)*E174</f>
        <v>4.4825946268326451</v>
      </c>
      <c r="Q174" s="95">
        <f>VLOOKUP($A$3,'[6]Universal data'!$B$30:$F$41,5,FALSE)*F174</f>
        <v>4.4382974066609888</v>
      </c>
      <c r="R174" s="95">
        <f>VLOOKUP($A$3,'[6]Universal data'!$B$30:$F$41,5,FALSE)*G174</f>
        <v>4.3946657145455781</v>
      </c>
      <c r="S174" s="95">
        <f>VLOOKUP($A$3,'[6]Universal data'!$B$30:$F$41,5,FALSE)*H174</f>
        <v>4.4536192919136726</v>
      </c>
      <c r="T174" s="97">
        <f>VLOOKUP($A$3,'[6]Universal data'!$B$30:$F$41,5,FALSE)*I174</f>
        <v>4.1056648571794998</v>
      </c>
      <c r="U174" s="49">
        <f t="shared" si="60"/>
        <v>33.789621733138723</v>
      </c>
    </row>
    <row r="175" spans="1:21">
      <c r="A175" s="50" t="s">
        <v>29</v>
      </c>
      <c r="B175" s="24">
        <f t="shared" ref="B175:I175" si="62">SUM(B173:B174)</f>
        <v>19.753863953188997</v>
      </c>
      <c r="C175" s="47">
        <f t="shared" si="62"/>
        <v>20.445472384789223</v>
      </c>
      <c r="D175" s="47">
        <f t="shared" si="62"/>
        <v>20.716400018273823</v>
      </c>
      <c r="E175" s="47">
        <f t="shared" si="62"/>
        <v>20.880678182269946</v>
      </c>
      <c r="F175" s="47">
        <f t="shared" si="62"/>
        <v>20.891136883754388</v>
      </c>
      <c r="G175" s="47">
        <f t="shared" si="62"/>
        <v>20.902772543446506</v>
      </c>
      <c r="H175" s="47">
        <f t="shared" si="62"/>
        <v>20.9966943308631</v>
      </c>
      <c r="I175" s="47">
        <f t="shared" si="62"/>
        <v>20.751820483130992</v>
      </c>
      <c r="J175" s="41">
        <f t="shared" si="59"/>
        <v>165.33883877971695</v>
      </c>
      <c r="K175" s="61"/>
      <c r="L175" s="50" t="s">
        <v>29</v>
      </c>
      <c r="M175" s="24">
        <f>VLOOKUP($A$3,'[6]Universal data'!$B$30:$F$41,5,FALSE)*B175</f>
        <v>23.498336002042223</v>
      </c>
      <c r="N175" s="47">
        <f>VLOOKUP($A$3,'[6]Universal data'!$B$30:$F$41,5,FALSE)*C175</f>
        <v>24.321043263067168</v>
      </c>
      <c r="O175" s="47">
        <f>VLOOKUP($A$3,'[6]Universal data'!$B$30:$F$41,5,FALSE)*D175</f>
        <v>24.643326973178045</v>
      </c>
      <c r="P175" s="47">
        <f>VLOOKUP($A$3,'[6]Universal data'!$B$30:$F$41,5,FALSE)*E175</f>
        <v>24.838745120459368</v>
      </c>
      <c r="Q175" s="47">
        <f>VLOOKUP($A$3,'[6]Universal data'!$B$30:$F$41,5,FALSE)*F175</f>
        <v>24.851186336122737</v>
      </c>
      <c r="R175" s="47">
        <f>VLOOKUP($A$3,'[6]Universal data'!$B$30:$F$41,5,FALSE)*G175</f>
        <v>24.865027609996989</v>
      </c>
      <c r="S175" s="47">
        <f>VLOOKUP($A$3,'[6]Universal data'!$B$30:$F$41,5,FALSE)*H175</f>
        <v>24.97675287670215</v>
      </c>
      <c r="T175" s="47">
        <f>VLOOKUP($A$3,'[6]Universal data'!$B$30:$F$41,5,FALSE)*I175</f>
        <v>24.685461615116182</v>
      </c>
      <c r="U175" s="41">
        <f t="shared" si="60"/>
        <v>196.67987979668487</v>
      </c>
    </row>
    <row r="176" spans="1:21">
      <c r="A176" s="51" t="s">
        <v>30</v>
      </c>
      <c r="B176" s="46">
        <f>SUM(B175,B172)+(0.5*B177)</f>
        <v>82.989758880517471</v>
      </c>
      <c r="C176" s="46">
        <f t="shared" ref="C176:J176" si="63">SUM(C175,C172)+(0.5*C177)</f>
        <v>83.908801195263649</v>
      </c>
      <c r="D176" s="46">
        <f t="shared" si="63"/>
        <v>84.292172005981143</v>
      </c>
      <c r="E176" s="46">
        <f t="shared" si="63"/>
        <v>84.408933880976775</v>
      </c>
      <c r="F176" s="46">
        <f t="shared" si="63"/>
        <v>82.978132121003554</v>
      </c>
      <c r="G176" s="46">
        <f t="shared" si="63"/>
        <v>82.774332291405926</v>
      </c>
      <c r="H176" s="46">
        <f t="shared" si="63"/>
        <v>82.607432823298751</v>
      </c>
      <c r="I176" s="46">
        <f t="shared" si="63"/>
        <v>81.755927620068377</v>
      </c>
      <c r="J176" s="46">
        <f t="shared" si="63"/>
        <v>665.7154908185156</v>
      </c>
      <c r="K176" s="61"/>
      <c r="L176" s="51" t="s">
        <v>30</v>
      </c>
      <c r="M176" s="46">
        <f>VLOOKUP($A$3,'[6]Universal data'!$B$30:$F$41,5,FALSE)*B176</f>
        <v>98.721001801171454</v>
      </c>
      <c r="N176" s="46">
        <f>VLOOKUP($A$3,'[6]Universal data'!$B$30:$F$41,5,FALSE)*C176</f>
        <v>99.81425450166472</v>
      </c>
      <c r="O176" s="46">
        <f>VLOOKUP($A$3,'[6]Universal data'!$B$30:$F$41,5,FALSE)*D176</f>
        <v>100.27029571694101</v>
      </c>
      <c r="P176" s="46">
        <f>VLOOKUP($A$3,'[6]Universal data'!$B$30:$F$41,5,FALSE)*E176</f>
        <v>100.40919055682538</v>
      </c>
      <c r="Q176" s="46">
        <f>VLOOKUP($A$3,'[6]Universal data'!$B$30:$F$41,5,FALSE)*F176</f>
        <v>98.707171114561461</v>
      </c>
      <c r="R176" s="46">
        <f>VLOOKUP($A$3,'[6]Universal data'!$B$30:$F$41,5,FALSE)*G176</f>
        <v>98.464739715601112</v>
      </c>
      <c r="S176" s="46">
        <f>VLOOKUP($A$3,'[6]Universal data'!$B$30:$F$41,5,FALSE)*H176</f>
        <v>98.26620337914369</v>
      </c>
      <c r="T176" s="46">
        <f>VLOOKUP($A$3,'[6]Universal data'!$B$30:$F$41,5,FALSE)*I176</f>
        <v>97.253289884325156</v>
      </c>
      <c r="U176" s="46">
        <f t="shared" ref="U176" si="64">SUM(U175,U172)+(0.5*U177)</f>
        <v>791.90614667023408</v>
      </c>
    </row>
    <row r="177" spans="1:21">
      <c r="A177" s="134" t="s">
        <v>52</v>
      </c>
      <c r="B177" s="241">
        <v>0.45121406335966541</v>
      </c>
      <c r="C177" s="268">
        <v>0.45121406335966541</v>
      </c>
      <c r="D177" s="268">
        <v>0.45121406335966541</v>
      </c>
      <c r="E177" s="268">
        <v>0.45121406335966541</v>
      </c>
      <c r="F177" s="268">
        <v>0.45121406335966541</v>
      </c>
      <c r="G177" s="268">
        <v>0.45121406335966541</v>
      </c>
      <c r="H177" s="268">
        <v>0.45121406335966541</v>
      </c>
      <c r="I177" s="269">
        <v>0.45121406335966541</v>
      </c>
      <c r="J177" s="242">
        <f t="shared" si="59"/>
        <v>3.6097125068773228</v>
      </c>
      <c r="K177" s="61"/>
      <c r="L177" s="40" t="s">
        <v>52</v>
      </c>
      <c r="M177" s="24">
        <f>VLOOKUP($A$3,'[6]Universal data'!$B$30:$F$41,5,FALSE)*B177</f>
        <v>0.5367445930982282</v>
      </c>
      <c r="N177" s="95">
        <f>VLOOKUP($A$3,'[6]Universal data'!$B$30:$F$41,5,FALSE)*C177</f>
        <v>0.5367445930982282</v>
      </c>
      <c r="O177" s="95">
        <f>VLOOKUP($A$3,'[6]Universal data'!$B$30:$F$41,5,FALSE)*D177</f>
        <v>0.5367445930982282</v>
      </c>
      <c r="P177" s="95">
        <f>VLOOKUP($A$3,'[6]Universal data'!$B$30:$F$41,5,FALSE)*E177</f>
        <v>0.5367445930982282</v>
      </c>
      <c r="Q177" s="95">
        <f>VLOOKUP($A$3,'[6]Universal data'!$B$30:$F$41,5,FALSE)*F177</f>
        <v>0.5367445930982282</v>
      </c>
      <c r="R177" s="95">
        <f>VLOOKUP($A$3,'[6]Universal data'!$B$30:$F$41,5,FALSE)*G177</f>
        <v>0.5367445930982282</v>
      </c>
      <c r="S177" s="95">
        <f>VLOOKUP($A$3,'[6]Universal data'!$B$30:$F$41,5,FALSE)*H177</f>
        <v>0.5367445930982282</v>
      </c>
      <c r="T177" s="97">
        <f>VLOOKUP($A$3,'[6]Universal data'!$B$30:$F$41,5,FALSE)*I177</f>
        <v>0.5367445930982282</v>
      </c>
      <c r="U177" s="46">
        <f t="shared" si="60"/>
        <v>4.2939567447858247</v>
      </c>
    </row>
    <row r="178" spans="1:21">
      <c r="A178" s="55" t="s">
        <v>32</v>
      </c>
      <c r="B178" s="87">
        <f t="shared" ref="B178:J178" si="65">SUM(B176,B164,B160)</f>
        <v>210.11852337355242</v>
      </c>
      <c r="C178" s="87">
        <f t="shared" si="65"/>
        <v>216.0212045554093</v>
      </c>
      <c r="D178" s="87">
        <f t="shared" si="65"/>
        <v>218.44608046512911</v>
      </c>
      <c r="E178" s="87">
        <f t="shared" si="65"/>
        <v>215.9837561159861</v>
      </c>
      <c r="F178" s="87">
        <f t="shared" si="65"/>
        <v>203.93383926142246</v>
      </c>
      <c r="G178" s="87">
        <f t="shared" si="65"/>
        <v>204.00063533907166</v>
      </c>
      <c r="H178" s="87">
        <f t="shared" si="65"/>
        <v>204.68428682410465</v>
      </c>
      <c r="I178" s="87">
        <f t="shared" si="65"/>
        <v>204.19862514971217</v>
      </c>
      <c r="J178" s="87">
        <f t="shared" si="65"/>
        <v>1677.3869510843879</v>
      </c>
      <c r="K178" s="61"/>
      <c r="L178" s="55" t="s">
        <v>32</v>
      </c>
      <c r="M178" s="270">
        <f>VLOOKUP($A$3,'[6]Universal data'!$B$30:$F$41,5,FALSE)*B178</f>
        <v>249.94784180882311</v>
      </c>
      <c r="N178" s="87">
        <f>VLOOKUP($A$3,'[6]Universal data'!$B$30:$F$41,5,FALSE)*C178</f>
        <v>256.96941419855364</v>
      </c>
      <c r="O178" s="87">
        <f>VLOOKUP($A$3,'[6]Universal data'!$B$30:$F$41,5,FALSE)*D178</f>
        <v>259.85394094354297</v>
      </c>
      <c r="P178" s="87">
        <f>VLOOKUP($A$3,'[6]Universal data'!$B$30:$F$41,5,FALSE)*E178</f>
        <v>256.92486716641838</v>
      </c>
      <c r="Q178" s="87">
        <f>VLOOKUP($A$3,'[6]Universal data'!$B$30:$F$41,5,FALSE)*F178</f>
        <v>242.59081101840601</v>
      </c>
      <c r="R178" s="87">
        <f>VLOOKUP($A$3,'[6]Universal data'!$B$30:$F$41,5,FALSE)*G178</f>
        <v>242.67026872247541</v>
      </c>
      <c r="S178" s="87">
        <f>VLOOKUP($A$3,'[6]Universal data'!$B$30:$F$41,5,FALSE)*H178</f>
        <v>243.48351074650012</v>
      </c>
      <c r="T178" s="87">
        <f>VLOOKUP($A$3,'[6]Universal data'!$B$30:$F$41,5,FALSE)*I178</f>
        <v>242.90578877599185</v>
      </c>
      <c r="U178" s="56">
        <f t="shared" ref="U178" si="66">SUM(U176,U164,U160)</f>
        <v>1995.3464433807117</v>
      </c>
    </row>
    <row r="179" spans="1:21">
      <c r="A179" s="57" t="s">
        <v>33</v>
      </c>
      <c r="B179" s="24"/>
      <c r="C179" s="95"/>
      <c r="D179" s="95"/>
      <c r="E179" s="95"/>
      <c r="F179" s="95"/>
      <c r="G179" s="95"/>
      <c r="H179" s="95"/>
      <c r="I179" s="97"/>
      <c r="J179" s="26"/>
      <c r="K179" s="61"/>
      <c r="L179" s="57" t="s">
        <v>33</v>
      </c>
      <c r="M179" s="24">
        <f>VLOOKUP($A$3,'[6]Universal data'!$B$30:$F$41,5,FALSE)*B179</f>
        <v>0</v>
      </c>
      <c r="N179" s="95">
        <f>VLOOKUP($A$3,'[6]Universal data'!$B$30:$F$41,5,FALSE)*C179</f>
        <v>0</v>
      </c>
      <c r="O179" s="95">
        <f>VLOOKUP($A$3,'[6]Universal data'!$B$30:$F$41,5,FALSE)*D179</f>
        <v>0</v>
      </c>
      <c r="P179" s="95">
        <f>VLOOKUP($A$3,'[6]Universal data'!$B$30:$F$41,5,FALSE)*E179</f>
        <v>0</v>
      </c>
      <c r="Q179" s="95">
        <f>VLOOKUP($A$3,'[6]Universal data'!$B$30:$F$41,5,FALSE)*F179</f>
        <v>0</v>
      </c>
      <c r="R179" s="95">
        <f>VLOOKUP($A$3,'[6]Universal data'!$B$30:$F$41,5,FALSE)*G179</f>
        <v>0</v>
      </c>
      <c r="S179" s="95">
        <f>VLOOKUP($A$3,'[6]Universal data'!$B$30:$F$41,5,FALSE)*H179</f>
        <v>0</v>
      </c>
      <c r="T179" s="97">
        <f>VLOOKUP($A$3,'[6]Universal data'!$B$30:$F$41,5,FALSE)*I179</f>
        <v>0</v>
      </c>
      <c r="U179" s="60"/>
    </row>
    <row r="180" spans="1:21">
      <c r="A180" s="40" t="s">
        <v>34</v>
      </c>
      <c r="B180" s="21">
        <v>31.164305307934132</v>
      </c>
      <c r="C180" s="88">
        <v>31.164305307934132</v>
      </c>
      <c r="D180" s="88">
        <v>31.164305307934132</v>
      </c>
      <c r="E180" s="88">
        <v>31.164305307934132</v>
      </c>
      <c r="F180" s="88">
        <v>31.164305307934132</v>
      </c>
      <c r="G180" s="88">
        <v>31.164305307934132</v>
      </c>
      <c r="H180" s="88">
        <v>31.164305307934132</v>
      </c>
      <c r="I180" s="90">
        <v>31.164305307934132</v>
      </c>
      <c r="J180" s="23">
        <f>SUM(B180:I180)</f>
        <v>249.31444246347309</v>
      </c>
      <c r="K180" s="61"/>
      <c r="L180" s="40" t="s">
        <v>34</v>
      </c>
      <c r="M180" s="21">
        <f>VLOOKUP($A$3,'[6]Universal data'!$B$30:$F$41,5,FALSE)*B180</f>
        <v>37.07169995355985</v>
      </c>
      <c r="N180" s="88">
        <f>VLOOKUP($A$3,'[6]Universal data'!$B$30:$F$41,5,FALSE)*C180</f>
        <v>37.07169995355985</v>
      </c>
      <c r="O180" s="88">
        <f>VLOOKUP($A$3,'[6]Universal data'!$B$30:$F$41,5,FALSE)*D180</f>
        <v>37.07169995355985</v>
      </c>
      <c r="P180" s="88">
        <f>VLOOKUP($A$3,'[6]Universal data'!$B$30:$F$41,5,FALSE)*E180</f>
        <v>37.07169995355985</v>
      </c>
      <c r="Q180" s="88">
        <f>VLOOKUP($A$3,'[6]Universal data'!$B$30:$F$41,5,FALSE)*F180</f>
        <v>37.07169995355985</v>
      </c>
      <c r="R180" s="88">
        <f>VLOOKUP($A$3,'[6]Universal data'!$B$30:$F$41,5,FALSE)*G180</f>
        <v>37.07169995355985</v>
      </c>
      <c r="S180" s="88">
        <f>VLOOKUP($A$3,'[6]Universal data'!$B$30:$F$41,5,FALSE)*H180</f>
        <v>37.07169995355985</v>
      </c>
      <c r="T180" s="90">
        <f>VLOOKUP($A$3,'[6]Universal data'!$B$30:$F$41,5,FALSE)*I180</f>
        <v>37.07169995355985</v>
      </c>
      <c r="U180" s="62">
        <f>SUM(M180:T180)</f>
        <v>296.5735996284788</v>
      </c>
    </row>
    <row r="181" spans="1:21">
      <c r="A181" s="40" t="s">
        <v>35</v>
      </c>
      <c r="B181" s="24">
        <v>8.8703170786488972</v>
      </c>
      <c r="C181" s="95">
        <v>8.8769615109175479</v>
      </c>
      <c r="D181" s="95">
        <v>8.7739005154378109</v>
      </c>
      <c r="E181" s="95">
        <v>8.7739005154378109</v>
      </c>
      <c r="F181" s="95">
        <v>8.7739005154378109</v>
      </c>
      <c r="G181" s="95">
        <v>8.7739005154378109</v>
      </c>
      <c r="H181" s="95">
        <v>8.7739005154378109</v>
      </c>
      <c r="I181" s="97">
        <v>8.7739005154378109</v>
      </c>
      <c r="J181" s="26">
        <f>SUM(B181:I181)</f>
        <v>70.390681682193303</v>
      </c>
      <c r="K181" s="61"/>
      <c r="L181" s="40" t="s">
        <v>35</v>
      </c>
      <c r="M181" s="24">
        <f>VLOOKUP($A$3,'[6]Universal data'!$B$30:$F$41,5,FALSE)*B181</f>
        <v>10.551742770562916</v>
      </c>
      <c r="N181" s="95">
        <f>VLOOKUP($A$3,'[6]Universal data'!$B$30:$F$41,5,FALSE)*C181</f>
        <v>10.559646697731875</v>
      </c>
      <c r="O181" s="95">
        <f>VLOOKUP($A$3,'[6]Universal data'!$B$30:$F$41,5,FALSE)*D181</f>
        <v>10.437049827254956</v>
      </c>
      <c r="P181" s="95">
        <f>VLOOKUP($A$3,'[6]Universal data'!$B$30:$F$41,5,FALSE)*E181</f>
        <v>10.437049827254956</v>
      </c>
      <c r="Q181" s="95">
        <f>VLOOKUP($A$3,'[6]Universal data'!$B$30:$F$41,5,FALSE)*F181</f>
        <v>10.437049827254956</v>
      </c>
      <c r="R181" s="95">
        <f>VLOOKUP($A$3,'[6]Universal data'!$B$30:$F$41,5,FALSE)*G181</f>
        <v>10.437049827254956</v>
      </c>
      <c r="S181" s="95">
        <f>VLOOKUP($A$3,'[6]Universal data'!$B$30:$F$41,5,FALSE)*H181</f>
        <v>10.437049827254956</v>
      </c>
      <c r="T181" s="97">
        <f>VLOOKUP($A$3,'[6]Universal data'!$B$30:$F$41,5,FALSE)*I181</f>
        <v>10.437049827254956</v>
      </c>
      <c r="U181" s="62">
        <f>SUM(M181:T181)</f>
        <v>83.733688431824518</v>
      </c>
    </row>
    <row r="182" spans="1:21">
      <c r="A182" s="40" t="s">
        <v>36</v>
      </c>
      <c r="B182" s="24">
        <v>9.9447287941517697</v>
      </c>
      <c r="C182" s="95">
        <v>9.6674769367161453</v>
      </c>
      <c r="D182" s="95">
        <v>9.4578652870376398</v>
      </c>
      <c r="E182" s="95">
        <v>9.1511213047890383</v>
      </c>
      <c r="F182" s="95">
        <v>9.0104024778335887</v>
      </c>
      <c r="G182" s="95">
        <v>8.8914091990515516</v>
      </c>
      <c r="H182" s="95">
        <v>8.7438469542785136</v>
      </c>
      <c r="I182" s="97">
        <v>8.5691154333478643</v>
      </c>
      <c r="J182" s="26">
        <f>SUM(B182:I182)</f>
        <v>73.435966387206108</v>
      </c>
      <c r="K182" s="61"/>
      <c r="L182" s="40" t="s">
        <v>36</v>
      </c>
      <c r="M182" s="24">
        <f>VLOOKUP($A$3,'[6]Universal data'!$B$30:$F$41,5,FALSE)*B182</f>
        <v>11.829816141688939</v>
      </c>
      <c r="N182" s="95">
        <f>VLOOKUP($A$3,'[6]Universal data'!$B$30:$F$41,5,FALSE)*C182</f>
        <v>11.500009410274204</v>
      </c>
      <c r="O182" s="95">
        <f>VLOOKUP($A$3,'[6]Universal data'!$B$30:$F$41,5,FALSE)*D182</f>
        <v>11.250664523331579</v>
      </c>
      <c r="P182" s="95">
        <f>VLOOKUP($A$3,'[6]Universal data'!$B$30:$F$41,5,FALSE)*E182</f>
        <v>10.885775245033271</v>
      </c>
      <c r="Q182" s="95">
        <f>VLOOKUP($A$3,'[6]Universal data'!$B$30:$F$41,5,FALSE)*F182</f>
        <v>10.718382258757359</v>
      </c>
      <c r="R182" s="95">
        <f>VLOOKUP($A$3,'[6]Universal data'!$B$30:$F$41,5,FALSE)*G182</f>
        <v>10.576833038137481</v>
      </c>
      <c r="S182" s="95">
        <f>VLOOKUP($A$3,'[6]Universal data'!$B$30:$F$41,5,FALSE)*H182</f>
        <v>10.401299420152192</v>
      </c>
      <c r="T182" s="97">
        <f>VLOOKUP($A$3,'[6]Universal data'!$B$30:$F$41,5,FALSE)*I182</f>
        <v>10.193446414851252</v>
      </c>
      <c r="U182" s="62">
        <f>SUM(M182:T182)</f>
        <v>87.356226452226281</v>
      </c>
    </row>
    <row r="183" spans="1:21">
      <c r="A183" s="63" t="s">
        <v>37</v>
      </c>
      <c r="B183" s="36">
        <v>4.1214104156849416</v>
      </c>
      <c r="C183" s="119">
        <v>4.1214104156849416</v>
      </c>
      <c r="D183" s="119">
        <v>4.1214104156849416</v>
      </c>
      <c r="E183" s="119">
        <v>4.1214104156849416</v>
      </c>
      <c r="F183" s="119">
        <v>4.1214104156849416</v>
      </c>
      <c r="G183" s="119">
        <v>4.1214104156849416</v>
      </c>
      <c r="H183" s="119">
        <v>4.1214104156849416</v>
      </c>
      <c r="I183" s="257">
        <v>4.1214104156849416</v>
      </c>
      <c r="J183" s="271">
        <f>SUM(B183:I183)</f>
        <v>32.971283325479533</v>
      </c>
      <c r="K183" s="61"/>
      <c r="L183" s="63" t="s">
        <v>37</v>
      </c>
      <c r="M183" s="24">
        <f>VLOOKUP($A$3,'[6]Universal data'!$B$30:$F$41,5,FALSE)*B183</f>
        <v>4.9026502855127099</v>
      </c>
      <c r="N183" s="119">
        <f>VLOOKUP($A$3,'[6]Universal data'!$B$30:$F$41,5,FALSE)*C183</f>
        <v>4.9026502855127099</v>
      </c>
      <c r="O183" s="119">
        <f>VLOOKUP($A$3,'[6]Universal data'!$B$30:$F$41,5,FALSE)*D183</f>
        <v>4.9026502855127099</v>
      </c>
      <c r="P183" s="119">
        <f>VLOOKUP($A$3,'[6]Universal data'!$B$30:$F$41,5,FALSE)*E183</f>
        <v>4.9026502855127099</v>
      </c>
      <c r="Q183" s="119">
        <f>VLOOKUP($A$3,'[6]Universal data'!$B$30:$F$41,5,FALSE)*F183</f>
        <v>4.9026502855127099</v>
      </c>
      <c r="R183" s="119">
        <f>VLOOKUP($A$3,'[6]Universal data'!$B$30:$F$41,5,FALSE)*G183</f>
        <v>4.9026502855127099</v>
      </c>
      <c r="S183" s="119">
        <f>VLOOKUP($A$3,'[6]Universal data'!$B$30:$F$41,5,FALSE)*H183</f>
        <v>4.9026502855127099</v>
      </c>
      <c r="T183" s="257">
        <f>VLOOKUP($A$3,'[6]Universal data'!$B$30:$F$41,5,FALSE)*I183</f>
        <v>4.9026502855127099</v>
      </c>
      <c r="U183" s="64">
        <f>SUM(M183:T183)</f>
        <v>39.221202284101679</v>
      </c>
    </row>
    <row r="184" spans="1:21">
      <c r="A184" s="65" t="s">
        <v>38</v>
      </c>
      <c r="B184" s="67">
        <f t="shared" ref="B184:J184" si="67">SUM(B180:B183)</f>
        <v>54.100761596419744</v>
      </c>
      <c r="C184" s="67">
        <f t="shared" si="67"/>
        <v>53.830154171252765</v>
      </c>
      <c r="D184" s="66">
        <f t="shared" si="67"/>
        <v>53.517481526094528</v>
      </c>
      <c r="E184" s="67">
        <f t="shared" si="67"/>
        <v>53.210737543845923</v>
      </c>
      <c r="F184" s="67">
        <f t="shared" si="67"/>
        <v>53.070018716890473</v>
      </c>
      <c r="G184" s="67">
        <f t="shared" si="67"/>
        <v>52.951025438108438</v>
      </c>
      <c r="H184" s="67">
        <f t="shared" si="67"/>
        <v>52.803463193335396</v>
      </c>
      <c r="I184" s="67">
        <f t="shared" si="67"/>
        <v>52.628731672404747</v>
      </c>
      <c r="J184" s="67">
        <f t="shared" si="67"/>
        <v>426.11237385835204</v>
      </c>
      <c r="K184" s="61"/>
      <c r="L184" s="65" t="s">
        <v>38</v>
      </c>
      <c r="M184" s="67">
        <f>VLOOKUP($A$3,'[6]Universal data'!$B$30:$F$41,5,FALSE)*B184</f>
        <v>64.355909151324411</v>
      </c>
      <c r="N184" s="67">
        <f>VLOOKUP($A$3,'[6]Universal data'!$B$30:$F$41,5,FALSE)*C184</f>
        <v>64.03400634707863</v>
      </c>
      <c r="O184" s="66">
        <f>VLOOKUP($A$3,'[6]Universal data'!$B$30:$F$41,5,FALSE)*D184</f>
        <v>63.662064589659096</v>
      </c>
      <c r="P184" s="67">
        <f>VLOOKUP($A$3,'[6]Universal data'!$B$30:$F$41,5,FALSE)*E184</f>
        <v>63.297175311360782</v>
      </c>
      <c r="Q184" s="67">
        <f>VLOOKUP($A$3,'[6]Universal data'!$B$30:$F$41,5,FALSE)*F184</f>
        <v>63.129782325084875</v>
      </c>
      <c r="R184" s="67">
        <f>VLOOKUP($A$3,'[6]Universal data'!$B$30:$F$41,5,FALSE)*G184</f>
        <v>62.988233104464996</v>
      </c>
      <c r="S184" s="67">
        <f>VLOOKUP($A$3,'[6]Universal data'!$B$30:$F$41,5,FALSE)*H184</f>
        <v>62.812699486479701</v>
      </c>
      <c r="T184" s="67">
        <f>VLOOKUP($A$3,'[6]Universal data'!$B$30:$F$41,5,FALSE)*I184</f>
        <v>62.604846481178761</v>
      </c>
      <c r="U184" s="68">
        <f t="shared" ref="U184" si="68">SUM(U180:U183)</f>
        <v>506.88471679663132</v>
      </c>
    </row>
    <row r="185" spans="1:21">
      <c r="A185" s="65" t="s">
        <v>62</v>
      </c>
      <c r="B185" s="60">
        <f t="shared" ref="B185:J185" si="69">+B184+B178</f>
        <v>264.21928496997214</v>
      </c>
      <c r="C185" s="60">
        <f t="shared" si="69"/>
        <v>269.85135872666206</v>
      </c>
      <c r="D185" s="60">
        <f t="shared" si="69"/>
        <v>271.96356199122363</v>
      </c>
      <c r="E185" s="60">
        <f t="shared" si="69"/>
        <v>269.19449365983201</v>
      </c>
      <c r="F185" s="60">
        <f t="shared" si="69"/>
        <v>257.00385797831291</v>
      </c>
      <c r="G185" s="60">
        <f t="shared" si="69"/>
        <v>256.95166077718011</v>
      </c>
      <c r="H185" s="60">
        <f t="shared" si="69"/>
        <v>257.48775001744002</v>
      </c>
      <c r="I185" s="60">
        <f t="shared" si="69"/>
        <v>256.82735682211694</v>
      </c>
      <c r="J185" s="60">
        <f t="shared" si="69"/>
        <v>2103.4993249427398</v>
      </c>
      <c r="K185" s="61"/>
      <c r="L185" s="65" t="s">
        <v>62</v>
      </c>
      <c r="M185" s="272">
        <f>VLOOKUP($A$3,'[6]Universal data'!$B$30:$F$41,5,FALSE)*B185</f>
        <v>314.30375096014751</v>
      </c>
      <c r="N185" s="60">
        <f>VLOOKUP($A$3,'[6]Universal data'!$B$30:$F$41,5,FALSE)*C185</f>
        <v>321.00342054563225</v>
      </c>
      <c r="O185" s="60">
        <f>VLOOKUP($A$3,'[6]Universal data'!$B$30:$F$41,5,FALSE)*D185</f>
        <v>323.51600553320202</v>
      </c>
      <c r="P185" s="60">
        <f>VLOOKUP($A$3,'[6]Universal data'!$B$30:$F$41,5,FALSE)*E185</f>
        <v>320.2220424777791</v>
      </c>
      <c r="Q185" s="60">
        <f>VLOOKUP($A$3,'[6]Universal data'!$B$30:$F$41,5,FALSE)*F185</f>
        <v>305.72059334349086</v>
      </c>
      <c r="R185" s="60">
        <f>VLOOKUP($A$3,'[6]Universal data'!$B$30:$F$41,5,FALSE)*G185</f>
        <v>305.65850182694044</v>
      </c>
      <c r="S185" s="60">
        <f>VLOOKUP($A$3,'[6]Universal data'!$B$30:$F$41,5,FALSE)*H185</f>
        <v>306.29621023297977</v>
      </c>
      <c r="T185" s="60">
        <f>VLOOKUP($A$3,'[6]Universal data'!$B$30:$F$41,5,FALSE)*I185</f>
        <v>305.51063525717063</v>
      </c>
      <c r="U185" s="60">
        <f t="shared" ref="U185" si="70">+U184+U178</f>
        <v>2502.2311601773431</v>
      </c>
    </row>
    <row r="186" spans="1:21">
      <c r="B186" s="273">
        <v>0</v>
      </c>
      <c r="C186" s="273">
        <v>0</v>
      </c>
      <c r="D186" s="273">
        <v>0</v>
      </c>
      <c r="E186" s="273">
        <v>0</v>
      </c>
      <c r="F186" s="273">
        <v>0</v>
      </c>
      <c r="G186" s="273">
        <v>0</v>
      </c>
      <c r="H186" s="273">
        <v>0</v>
      </c>
      <c r="I186" s="273">
        <v>0</v>
      </c>
      <c r="J186" s="273">
        <v>0</v>
      </c>
      <c r="K186" s="61"/>
      <c r="M186" s="273"/>
      <c r="N186" s="273"/>
      <c r="O186" s="273"/>
      <c r="P186" s="273"/>
      <c r="Q186" s="273"/>
      <c r="R186" s="273"/>
      <c r="S186" s="273"/>
      <c r="T186" s="273"/>
      <c r="U186" s="273"/>
    </row>
    <row r="187" spans="1:21">
      <c r="A187" s="8" t="s">
        <v>63</v>
      </c>
      <c r="B187" s="274"/>
      <c r="C187" s="61"/>
      <c r="D187" s="70"/>
      <c r="E187" s="61"/>
      <c r="F187" s="61"/>
      <c r="G187" s="61"/>
      <c r="H187" s="61"/>
      <c r="I187" s="61"/>
      <c r="J187" s="274" t="str">
        <f>IF(ROUND(J185*VLOOKUP($A$3,'[6]Universal data'!$B$30:$F$41,5,FALSE),4)-(ROUND(J144,4))=0,"ok","error")</f>
        <v>error</v>
      </c>
      <c r="K187" s="61"/>
      <c r="L187" s="8" t="s">
        <v>63</v>
      </c>
      <c r="M187" s="69"/>
      <c r="N187" s="61"/>
      <c r="O187" s="70"/>
      <c r="P187" s="61"/>
      <c r="Q187" s="61"/>
      <c r="R187" s="61"/>
      <c r="S187" s="61"/>
      <c r="T187" s="61"/>
      <c r="U187" s="61"/>
    </row>
    <row r="188" spans="1:21">
      <c r="A188" s="9"/>
      <c r="B188" s="69"/>
      <c r="C188" s="61"/>
      <c r="D188" s="70"/>
      <c r="E188" s="61"/>
      <c r="F188" s="61"/>
      <c r="G188" s="61"/>
      <c r="H188" s="61"/>
      <c r="I188" s="61"/>
      <c r="J188" s="61"/>
      <c r="K188" s="61"/>
      <c r="L188" s="265" t="str">
        <f>+$A$3&amp;" "&amp;"prices"</f>
        <v>2014/15 prices</v>
      </c>
      <c r="M188" s="69"/>
      <c r="N188" s="61"/>
      <c r="O188" s="70"/>
      <c r="P188" s="61"/>
      <c r="Q188" s="61"/>
      <c r="R188" s="61"/>
      <c r="S188" s="61"/>
      <c r="T188" s="61"/>
      <c r="U188" s="61"/>
    </row>
    <row r="189" spans="1:21">
      <c r="A189" s="10"/>
      <c r="B189" s="275"/>
      <c r="C189" s="276"/>
      <c r="D189" s="277"/>
      <c r="E189" s="276"/>
      <c r="F189" s="276"/>
      <c r="G189" s="276"/>
      <c r="H189" s="276"/>
      <c r="I189" s="276"/>
      <c r="J189" s="278"/>
      <c r="K189" s="61"/>
      <c r="L189" s="10"/>
      <c r="M189" s="275"/>
      <c r="N189" s="276"/>
      <c r="O189" s="277"/>
      <c r="P189" s="276"/>
      <c r="Q189" s="276"/>
      <c r="R189" s="276"/>
      <c r="S189" s="276"/>
      <c r="T189" s="276"/>
      <c r="U189" s="278"/>
    </row>
    <row r="190" spans="1:21">
      <c r="A190" s="12"/>
      <c r="B190" s="461" t="s">
        <v>56</v>
      </c>
      <c r="C190" s="462"/>
      <c r="D190" s="462"/>
      <c r="E190" s="462"/>
      <c r="F190" s="462"/>
      <c r="G190" s="462"/>
      <c r="H190" s="462"/>
      <c r="I190" s="462"/>
      <c r="J190" s="463"/>
      <c r="K190" s="61"/>
      <c r="L190" s="12"/>
      <c r="M190" s="461" t="s">
        <v>56</v>
      </c>
      <c r="N190" s="462"/>
      <c r="O190" s="462"/>
      <c r="P190" s="462"/>
      <c r="Q190" s="462"/>
      <c r="R190" s="462"/>
      <c r="S190" s="462"/>
      <c r="T190" s="462"/>
      <c r="U190" s="463"/>
    </row>
    <row r="191" spans="1:21">
      <c r="A191" s="14" t="s">
        <v>64</v>
      </c>
      <c r="B191" s="15">
        <v>2014</v>
      </c>
      <c r="C191" s="279">
        <v>2015</v>
      </c>
      <c r="D191" s="279">
        <v>2016</v>
      </c>
      <c r="E191" s="280">
        <v>2017</v>
      </c>
      <c r="F191" s="279">
        <v>2018</v>
      </c>
      <c r="G191" s="280">
        <v>2019</v>
      </c>
      <c r="H191" s="279">
        <v>2020</v>
      </c>
      <c r="I191" s="281">
        <v>2021</v>
      </c>
      <c r="J191" s="282" t="s">
        <v>65</v>
      </c>
      <c r="K191" s="61"/>
      <c r="L191" s="14" t="s">
        <v>64</v>
      </c>
      <c r="M191" s="15">
        <v>2014</v>
      </c>
      <c r="N191" s="279">
        <v>2015</v>
      </c>
      <c r="O191" s="279">
        <v>2016</v>
      </c>
      <c r="P191" s="280">
        <v>2017</v>
      </c>
      <c r="Q191" s="279">
        <v>2018</v>
      </c>
      <c r="R191" s="280">
        <v>2019</v>
      </c>
      <c r="S191" s="279">
        <v>2020</v>
      </c>
      <c r="T191" s="281">
        <v>2021</v>
      </c>
      <c r="U191" s="282" t="s">
        <v>65</v>
      </c>
    </row>
    <row r="192" spans="1:21">
      <c r="A192" s="20" t="s">
        <v>41</v>
      </c>
      <c r="B192" s="79"/>
      <c r="C192" s="283"/>
      <c r="D192" s="79"/>
      <c r="E192" s="283"/>
      <c r="F192" s="283"/>
      <c r="G192" s="283"/>
      <c r="H192" s="283"/>
      <c r="I192" s="283"/>
      <c r="J192" s="283">
        <f>SUM(B192:I192)</f>
        <v>0</v>
      </c>
      <c r="K192" s="61"/>
      <c r="L192" s="20" t="s">
        <v>41</v>
      </c>
      <c r="M192" s="79">
        <f>VLOOKUP($A$3,'[6]Universal data'!$B$30:$G$41,6,FALSE)*B192</f>
        <v>0</v>
      </c>
      <c r="N192" s="283">
        <f>VLOOKUP($A$3,'[6]Universal data'!$B$30:$F$41,5,FALSE)*C192</f>
        <v>0</v>
      </c>
      <c r="O192" s="79">
        <f>VLOOKUP($A$3,'[6]Universal data'!$B$30:$F$41,5,FALSE)*D192</f>
        <v>0</v>
      </c>
      <c r="P192" s="283">
        <f>VLOOKUP($A$3,'[6]Universal data'!$B$30:$F$41,5,FALSE)*E192</f>
        <v>0</v>
      </c>
      <c r="Q192" s="283">
        <f>VLOOKUP($A$3,'[6]Universal data'!$B$30:$F$41,5,FALSE)*F192</f>
        <v>0</v>
      </c>
      <c r="R192" s="283">
        <f>VLOOKUP($A$3,'[6]Universal data'!$B$30:$F$41,5,FALSE)*G192</f>
        <v>0</v>
      </c>
      <c r="S192" s="283">
        <f>VLOOKUP($A$3,'[6]Universal data'!$B$30:$F$41,5,FALSE)*H192</f>
        <v>0</v>
      </c>
      <c r="T192" s="283">
        <f>VLOOKUP($A$3,'[6]Universal data'!$B$30:$F$41,5,FALSE)*I192</f>
        <v>0</v>
      </c>
      <c r="U192" s="283">
        <f>SUM(M192:T192)</f>
        <v>0</v>
      </c>
    </row>
    <row r="193" spans="1:21">
      <c r="A193" s="20" t="s">
        <v>42</v>
      </c>
      <c r="B193" s="76"/>
      <c r="C193" s="214"/>
      <c r="D193" s="76"/>
      <c r="E193" s="214"/>
      <c r="F193" s="214"/>
      <c r="G193" s="214"/>
      <c r="H193" s="214"/>
      <c r="I193" s="214"/>
      <c r="J193" s="214">
        <f t="shared" ref="J193:J198" si="71">SUM(B193:I193)</f>
        <v>0</v>
      </c>
      <c r="L193" s="20" t="s">
        <v>42</v>
      </c>
      <c r="M193" s="76">
        <f>VLOOKUP($A$3,'[6]Universal data'!$B$30:$G$41,6,FALSE)*B193</f>
        <v>0</v>
      </c>
      <c r="N193" s="214">
        <f>VLOOKUP($A$3,'[6]Universal data'!$B$30:$F$41,5,FALSE)*C193</f>
        <v>0</v>
      </c>
      <c r="O193" s="76">
        <f>VLOOKUP($A$3,'[6]Universal data'!$B$30:$F$41,5,FALSE)*D193</f>
        <v>0</v>
      </c>
      <c r="P193" s="214">
        <f>VLOOKUP($A$3,'[6]Universal data'!$B$30:$F$41,5,FALSE)*E193</f>
        <v>0</v>
      </c>
      <c r="Q193" s="214">
        <f>VLOOKUP($A$3,'[6]Universal data'!$B$30:$F$41,5,FALSE)*F193</f>
        <v>0</v>
      </c>
      <c r="R193" s="214">
        <f>VLOOKUP($A$3,'[6]Universal data'!$B$30:$F$41,5,FALSE)*G193</f>
        <v>0</v>
      </c>
      <c r="S193" s="214">
        <f>VLOOKUP($A$3,'[6]Universal data'!$B$30:$F$41,5,FALSE)*H193</f>
        <v>0</v>
      </c>
      <c r="T193" s="214">
        <f>VLOOKUP($A$3,'[6]Universal data'!$B$30:$F$41,5,FALSE)*I193</f>
        <v>0</v>
      </c>
      <c r="U193" s="214">
        <f t="shared" ref="U193:U198" si="72">SUM(M193:T193)</f>
        <v>0</v>
      </c>
    </row>
    <row r="194" spans="1:21">
      <c r="A194" s="20" t="s">
        <v>66</v>
      </c>
      <c r="B194" s="76"/>
      <c r="C194" s="214"/>
      <c r="D194" s="76"/>
      <c r="E194" s="214"/>
      <c r="F194" s="214"/>
      <c r="G194" s="214"/>
      <c r="H194" s="214"/>
      <c r="I194" s="214"/>
      <c r="J194" s="214">
        <f t="shared" si="71"/>
        <v>0</v>
      </c>
      <c r="L194" s="20" t="s">
        <v>66</v>
      </c>
      <c r="M194" s="76">
        <f>VLOOKUP($A$3,'[6]Universal data'!$B$30:$G$41,6,FALSE)*B194</f>
        <v>0</v>
      </c>
      <c r="N194" s="214">
        <f>VLOOKUP($A$3,'[6]Universal data'!$B$30:$F$41,5,FALSE)*C194</f>
        <v>0</v>
      </c>
      <c r="O194" s="76">
        <f>VLOOKUP($A$3,'[6]Universal data'!$B$30:$F$41,5,FALSE)*D194</f>
        <v>0</v>
      </c>
      <c r="P194" s="214">
        <f>VLOOKUP($A$3,'[6]Universal data'!$B$30:$F$41,5,FALSE)*E194</f>
        <v>0</v>
      </c>
      <c r="Q194" s="214">
        <f>VLOOKUP($A$3,'[6]Universal data'!$B$30:$F$41,5,FALSE)*F194</f>
        <v>0</v>
      </c>
      <c r="R194" s="214">
        <f>VLOOKUP($A$3,'[6]Universal data'!$B$30:$F$41,5,FALSE)*G194</f>
        <v>0</v>
      </c>
      <c r="S194" s="214">
        <f>VLOOKUP($A$3,'[6]Universal data'!$B$30:$F$41,5,FALSE)*H194</f>
        <v>0</v>
      </c>
      <c r="T194" s="214">
        <f>VLOOKUP($A$3,'[6]Universal data'!$B$30:$F$41,5,FALSE)*I194</f>
        <v>0</v>
      </c>
      <c r="U194" s="214">
        <f t="shared" si="72"/>
        <v>0</v>
      </c>
    </row>
    <row r="195" spans="1:21">
      <c r="A195" s="20" t="s">
        <v>67</v>
      </c>
      <c r="B195" s="76"/>
      <c r="C195" s="192"/>
      <c r="D195" s="76"/>
      <c r="E195" s="214"/>
      <c r="F195" s="214"/>
      <c r="G195" s="214"/>
      <c r="H195" s="214"/>
      <c r="I195" s="214"/>
      <c r="J195" s="214">
        <f t="shared" si="71"/>
        <v>0</v>
      </c>
      <c r="L195" s="20" t="s">
        <v>67</v>
      </c>
      <c r="M195" s="76">
        <f>VLOOKUP($A$3,'[6]Universal data'!$B$30:$G$41,6,FALSE)*B195</f>
        <v>0</v>
      </c>
      <c r="N195" s="192">
        <f>VLOOKUP($A$3,'[6]Universal data'!$B$30:$F$41,5,FALSE)*C195</f>
        <v>0</v>
      </c>
      <c r="O195" s="76">
        <f>VLOOKUP($A$3,'[6]Universal data'!$B$30:$F$41,5,FALSE)*D195</f>
        <v>0</v>
      </c>
      <c r="P195" s="214">
        <f>VLOOKUP($A$3,'[6]Universal data'!$B$30:$F$41,5,FALSE)*E195</f>
        <v>0</v>
      </c>
      <c r="Q195" s="214">
        <f>VLOOKUP($A$3,'[6]Universal data'!$B$30:$F$41,5,FALSE)*F195</f>
        <v>0</v>
      </c>
      <c r="R195" s="214">
        <f>VLOOKUP($A$3,'[6]Universal data'!$B$30:$F$41,5,FALSE)*G195</f>
        <v>0</v>
      </c>
      <c r="S195" s="214">
        <f>VLOOKUP($A$3,'[6]Universal data'!$B$30:$F$41,5,FALSE)*H195</f>
        <v>0</v>
      </c>
      <c r="T195" s="214">
        <f>VLOOKUP($A$3,'[6]Universal data'!$B$30:$F$41,5,FALSE)*I195</f>
        <v>0</v>
      </c>
      <c r="U195" s="214">
        <f t="shared" si="72"/>
        <v>0</v>
      </c>
    </row>
    <row r="196" spans="1:21">
      <c r="A196" s="20" t="s">
        <v>44</v>
      </c>
      <c r="B196" s="76"/>
      <c r="C196" s="192"/>
      <c r="D196" s="76"/>
      <c r="E196" s="214"/>
      <c r="F196" s="214"/>
      <c r="G196" s="214"/>
      <c r="H196" s="214"/>
      <c r="I196" s="214"/>
      <c r="J196" s="214">
        <f t="shared" si="71"/>
        <v>0</v>
      </c>
      <c r="L196" s="20" t="s">
        <v>44</v>
      </c>
      <c r="M196" s="76">
        <f>VLOOKUP($A$3,'[6]Universal data'!$B$30:$G$41,6,FALSE)*B196</f>
        <v>0</v>
      </c>
      <c r="N196" s="192">
        <f>VLOOKUP($A$3,'[6]Universal data'!$B$30:$F$41,5,FALSE)*C196</f>
        <v>0</v>
      </c>
      <c r="O196" s="76">
        <f>VLOOKUP($A$3,'[6]Universal data'!$B$30:$F$41,5,FALSE)*D196</f>
        <v>0</v>
      </c>
      <c r="P196" s="214">
        <f>VLOOKUP($A$3,'[6]Universal data'!$B$30:$F$41,5,FALSE)*E196</f>
        <v>0</v>
      </c>
      <c r="Q196" s="214">
        <f>VLOOKUP($A$3,'[6]Universal data'!$B$30:$F$41,5,FALSE)*F196</f>
        <v>0</v>
      </c>
      <c r="R196" s="214">
        <f>VLOOKUP($A$3,'[6]Universal data'!$B$30:$F$41,5,FALSE)*G196</f>
        <v>0</v>
      </c>
      <c r="S196" s="214">
        <f>VLOOKUP($A$3,'[6]Universal data'!$B$30:$F$41,5,FALSE)*H196</f>
        <v>0</v>
      </c>
      <c r="T196" s="214">
        <f>VLOOKUP($A$3,'[6]Universal data'!$B$30:$F$41,5,FALSE)*I196</f>
        <v>0</v>
      </c>
      <c r="U196" s="214">
        <f t="shared" si="72"/>
        <v>0</v>
      </c>
    </row>
    <row r="197" spans="1:21">
      <c r="A197" s="20" t="s">
        <v>68</v>
      </c>
      <c r="B197" s="76">
        <v>-1.5517342999999997</v>
      </c>
      <c r="C197" s="192"/>
      <c r="D197" s="76"/>
      <c r="E197" s="214"/>
      <c r="F197" s="214"/>
      <c r="G197" s="214"/>
      <c r="H197" s="214"/>
      <c r="I197" s="214"/>
      <c r="J197" s="214">
        <f t="shared" si="71"/>
        <v>-1.5517342999999997</v>
      </c>
      <c r="L197" s="20" t="s">
        <v>68</v>
      </c>
      <c r="M197" s="76">
        <f>VLOOKUP($A$3,'[6]Universal data'!$B$30:$G$41,6,FALSE)*B197</f>
        <v>-1.5821445566928698</v>
      </c>
      <c r="N197" s="192">
        <f>VLOOKUP($A$3,'[6]Universal data'!$B$30:$F$41,5,FALSE)*C197</f>
        <v>0</v>
      </c>
      <c r="O197" s="76">
        <f>VLOOKUP($A$3,'[6]Universal data'!$B$30:$F$41,5,FALSE)*D197</f>
        <v>0</v>
      </c>
      <c r="P197" s="214">
        <f>VLOOKUP($A$3,'[6]Universal data'!$B$30:$F$41,5,FALSE)*E197</f>
        <v>0</v>
      </c>
      <c r="Q197" s="214">
        <f>VLOOKUP($A$3,'[6]Universal data'!$B$30:$F$41,5,FALSE)*F197</f>
        <v>0</v>
      </c>
      <c r="R197" s="214">
        <f>VLOOKUP($A$3,'[6]Universal data'!$B$30:$F$41,5,FALSE)*G197</f>
        <v>0</v>
      </c>
      <c r="S197" s="214">
        <f>VLOOKUP($A$3,'[6]Universal data'!$B$30:$F$41,5,FALSE)*H197</f>
        <v>0</v>
      </c>
      <c r="T197" s="214">
        <f>VLOOKUP($A$3,'[6]Universal data'!$B$30:$F$41,5,FALSE)*I197</f>
        <v>0</v>
      </c>
      <c r="U197" s="214">
        <f t="shared" si="72"/>
        <v>-1.5821445566928698</v>
      </c>
    </row>
    <row r="198" spans="1:21">
      <c r="A198" s="20"/>
      <c r="B198" s="76"/>
      <c r="C198" s="192"/>
      <c r="D198" s="76"/>
      <c r="E198" s="214"/>
      <c r="F198" s="214"/>
      <c r="G198" s="214"/>
      <c r="H198" s="214"/>
      <c r="I198" s="214"/>
      <c r="J198" s="214">
        <f t="shared" si="71"/>
        <v>0</v>
      </c>
      <c r="L198" s="20"/>
      <c r="M198" s="76"/>
      <c r="N198" s="192"/>
      <c r="O198" s="76"/>
      <c r="P198" s="214"/>
      <c r="Q198" s="214"/>
      <c r="R198" s="214"/>
      <c r="S198" s="214"/>
      <c r="T198" s="214"/>
      <c r="U198" s="214">
        <f t="shared" si="72"/>
        <v>0</v>
      </c>
    </row>
    <row r="199" spans="1:21">
      <c r="A199" s="31" t="s">
        <v>69</v>
      </c>
      <c r="B199" s="209">
        <f>SUM(B192:B198)</f>
        <v>-1.5517342999999997</v>
      </c>
      <c r="C199" s="209">
        <f t="shared" ref="C199:J199" si="73">SUM(C192:C198)</f>
        <v>0</v>
      </c>
      <c r="D199" s="209">
        <f t="shared" si="73"/>
        <v>0</v>
      </c>
      <c r="E199" s="209">
        <f t="shared" si="73"/>
        <v>0</v>
      </c>
      <c r="F199" s="209">
        <f t="shared" si="73"/>
        <v>0</v>
      </c>
      <c r="G199" s="209">
        <f t="shared" si="73"/>
        <v>0</v>
      </c>
      <c r="H199" s="209">
        <f t="shared" si="73"/>
        <v>0</v>
      </c>
      <c r="I199" s="209">
        <f t="shared" si="73"/>
        <v>0</v>
      </c>
      <c r="J199" s="209">
        <f t="shared" si="73"/>
        <v>-1.5517342999999997</v>
      </c>
      <c r="L199" s="31" t="s">
        <v>69</v>
      </c>
      <c r="M199" s="209">
        <f>SUM(M192:M198)</f>
        <v>-1.5821445566928698</v>
      </c>
      <c r="N199" s="209">
        <f t="shared" ref="N199:U199" si="74">SUM(N192:N198)</f>
        <v>0</v>
      </c>
      <c r="O199" s="209">
        <f t="shared" si="74"/>
        <v>0</v>
      </c>
      <c r="P199" s="209">
        <f t="shared" si="74"/>
        <v>0</v>
      </c>
      <c r="Q199" s="209">
        <f t="shared" si="74"/>
        <v>0</v>
      </c>
      <c r="R199" s="209">
        <f t="shared" si="74"/>
        <v>0</v>
      </c>
      <c r="S199" s="209">
        <f t="shared" si="74"/>
        <v>0</v>
      </c>
      <c r="T199" s="209">
        <f t="shared" si="74"/>
        <v>0</v>
      </c>
      <c r="U199" s="209">
        <f t="shared" si="74"/>
        <v>-1.5821445566928698</v>
      </c>
    </row>
    <row r="200" spans="1:21">
      <c r="B200" s="69"/>
      <c r="C200" s="61"/>
      <c r="D200" s="70"/>
      <c r="E200" s="61"/>
      <c r="F200" s="61"/>
      <c r="G200" s="61"/>
      <c r="H200" s="61"/>
      <c r="I200" s="61"/>
      <c r="J200" s="61"/>
      <c r="M200" s="69"/>
      <c r="N200" s="61"/>
      <c r="O200" s="70"/>
      <c r="P200" s="61"/>
      <c r="Q200" s="61"/>
      <c r="R200" s="61"/>
      <c r="S200" s="61"/>
      <c r="T200" s="61"/>
      <c r="U200" s="61"/>
    </row>
    <row r="201" spans="1:21">
      <c r="B201" s="69"/>
      <c r="C201" s="61"/>
      <c r="D201" s="70"/>
      <c r="E201" s="61"/>
      <c r="F201" s="61"/>
      <c r="G201" s="61"/>
      <c r="H201" s="61"/>
      <c r="I201" s="61"/>
      <c r="J201" s="61"/>
      <c r="M201" s="69"/>
      <c r="N201" s="61"/>
      <c r="O201" s="70"/>
      <c r="P201" s="61"/>
      <c r="Q201" s="61"/>
      <c r="R201" s="61"/>
      <c r="S201" s="61"/>
      <c r="T201" s="61"/>
      <c r="U201" s="61"/>
    </row>
    <row r="202" spans="1:21">
      <c r="A202" s="8" t="s">
        <v>70</v>
      </c>
      <c r="B202" s="69"/>
      <c r="C202" s="61"/>
      <c r="D202" s="70"/>
      <c r="E202" s="61"/>
      <c r="F202" s="61"/>
      <c r="G202" s="61"/>
      <c r="H202" s="61"/>
      <c r="I202" s="61"/>
      <c r="J202" s="61"/>
      <c r="L202" s="8" t="s">
        <v>70</v>
      </c>
      <c r="M202" s="69"/>
      <c r="N202" s="61"/>
      <c r="O202" s="70"/>
      <c r="P202" s="61"/>
      <c r="Q202" s="61"/>
      <c r="R202" s="61"/>
      <c r="S202" s="61"/>
      <c r="T202" s="61"/>
      <c r="U202" s="61"/>
    </row>
    <row r="203" spans="1:21">
      <c r="A203" s="9"/>
      <c r="B203" s="69"/>
      <c r="C203" s="61"/>
      <c r="D203" s="70"/>
      <c r="E203" s="61"/>
      <c r="F203" s="61"/>
      <c r="G203" s="61"/>
      <c r="H203" s="61"/>
      <c r="I203" s="61"/>
      <c r="J203" s="61"/>
      <c r="L203" s="265" t="str">
        <f>+$A$3&amp;" "&amp;"prices"</f>
        <v>2014/15 prices</v>
      </c>
      <c r="M203" s="69"/>
      <c r="N203" s="61"/>
      <c r="O203" s="70"/>
      <c r="P203" s="61"/>
      <c r="Q203" s="61"/>
      <c r="R203" s="61"/>
      <c r="S203" s="61"/>
      <c r="T203" s="61"/>
      <c r="U203" s="61"/>
    </row>
    <row r="204" spans="1:21">
      <c r="A204" s="10"/>
      <c r="B204" s="275"/>
      <c r="C204" s="276"/>
      <c r="D204" s="277"/>
      <c r="E204" s="276"/>
      <c r="F204" s="276"/>
      <c r="G204" s="276"/>
      <c r="H204" s="276"/>
      <c r="I204" s="276"/>
      <c r="J204" s="278"/>
      <c r="L204" s="10"/>
      <c r="M204" s="275"/>
      <c r="N204" s="276"/>
      <c r="O204" s="277"/>
      <c r="P204" s="276"/>
      <c r="Q204" s="276"/>
      <c r="R204" s="276"/>
      <c r="S204" s="276"/>
      <c r="T204" s="276"/>
      <c r="U204" s="278"/>
    </row>
    <row r="205" spans="1:21">
      <c r="A205" s="12"/>
      <c r="B205" s="461" t="s">
        <v>56</v>
      </c>
      <c r="C205" s="462"/>
      <c r="D205" s="462"/>
      <c r="E205" s="462"/>
      <c r="F205" s="462"/>
      <c r="G205" s="462"/>
      <c r="H205" s="462"/>
      <c r="I205" s="462"/>
      <c r="J205" s="463"/>
      <c r="L205" s="12"/>
      <c r="M205" s="461" t="s">
        <v>56</v>
      </c>
      <c r="N205" s="462"/>
      <c r="O205" s="462"/>
      <c r="P205" s="462"/>
      <c r="Q205" s="462"/>
      <c r="R205" s="462"/>
      <c r="S205" s="462"/>
      <c r="T205" s="462"/>
      <c r="U205" s="463"/>
    </row>
    <row r="206" spans="1:21">
      <c r="A206" s="14" t="s">
        <v>4</v>
      </c>
      <c r="B206" s="15">
        <v>2014</v>
      </c>
      <c r="C206" s="279">
        <v>2015</v>
      </c>
      <c r="D206" s="279">
        <v>2016</v>
      </c>
      <c r="E206" s="280">
        <v>2017</v>
      </c>
      <c r="F206" s="279">
        <v>2018</v>
      </c>
      <c r="G206" s="280">
        <v>2019</v>
      </c>
      <c r="H206" s="279">
        <v>2020</v>
      </c>
      <c r="I206" s="281">
        <v>2021</v>
      </c>
      <c r="J206" s="282" t="s">
        <v>65</v>
      </c>
      <c r="L206" s="14" t="s">
        <v>4</v>
      </c>
      <c r="M206" s="15">
        <v>2014</v>
      </c>
      <c r="N206" s="279">
        <v>2015</v>
      </c>
      <c r="O206" s="279">
        <v>2016</v>
      </c>
      <c r="P206" s="280">
        <v>2017</v>
      </c>
      <c r="Q206" s="279">
        <v>2018</v>
      </c>
      <c r="R206" s="280">
        <v>2019</v>
      </c>
      <c r="S206" s="279">
        <v>2020</v>
      </c>
      <c r="T206" s="281">
        <v>2021</v>
      </c>
      <c r="U206" s="282" t="s">
        <v>65</v>
      </c>
    </row>
    <row r="207" spans="1:21">
      <c r="A207" s="20" t="s">
        <v>6</v>
      </c>
      <c r="B207" s="79"/>
      <c r="C207" s="283"/>
      <c r="D207" s="79"/>
      <c r="E207" s="283"/>
      <c r="F207" s="283"/>
      <c r="G207" s="283"/>
      <c r="H207" s="283"/>
      <c r="I207" s="283"/>
      <c r="J207" s="283">
        <f>SUM(B207:I207)</f>
        <v>0</v>
      </c>
      <c r="L207" s="20" t="s">
        <v>6</v>
      </c>
      <c r="M207" s="79"/>
      <c r="N207" s="283"/>
      <c r="O207" s="79"/>
      <c r="P207" s="283"/>
      <c r="Q207" s="283"/>
      <c r="R207" s="283"/>
      <c r="S207" s="283"/>
      <c r="T207" s="283"/>
      <c r="U207" s="283">
        <f>SUM(M207:T207)</f>
        <v>0</v>
      </c>
    </row>
    <row r="208" spans="1:21">
      <c r="A208" s="20" t="s">
        <v>7</v>
      </c>
      <c r="B208" s="76"/>
      <c r="C208" s="214"/>
      <c r="D208" s="76"/>
      <c r="E208" s="214"/>
      <c r="F208" s="214"/>
      <c r="G208" s="214"/>
      <c r="H208" s="214"/>
      <c r="I208" s="214"/>
      <c r="J208" s="214">
        <f t="shared" ref="J208:J215" si="75">SUM(B208:I208)</f>
        <v>0</v>
      </c>
      <c r="L208" s="20" t="s">
        <v>7</v>
      </c>
      <c r="M208" s="76"/>
      <c r="N208" s="214"/>
      <c r="O208" s="76"/>
      <c r="P208" s="214"/>
      <c r="Q208" s="214"/>
      <c r="R208" s="214"/>
      <c r="S208" s="214"/>
      <c r="T208" s="214"/>
      <c r="U208" s="214">
        <f t="shared" ref="U208:U213" si="76">SUM(M208:T208)</f>
        <v>0</v>
      </c>
    </row>
    <row r="209" spans="1:21">
      <c r="A209" s="20" t="s">
        <v>8</v>
      </c>
      <c r="B209" s="76"/>
      <c r="C209" s="214"/>
      <c r="D209" s="76"/>
      <c r="E209" s="214"/>
      <c r="F209" s="214"/>
      <c r="G209" s="214"/>
      <c r="H209" s="214"/>
      <c r="I209" s="214"/>
      <c r="J209" s="214">
        <f t="shared" si="75"/>
        <v>0</v>
      </c>
      <c r="L209" s="20" t="s">
        <v>8</v>
      </c>
      <c r="M209" s="76"/>
      <c r="N209" s="214"/>
      <c r="O209" s="76"/>
      <c r="P209" s="214"/>
      <c r="Q209" s="214"/>
      <c r="R209" s="214"/>
      <c r="S209" s="214"/>
      <c r="T209" s="214"/>
      <c r="U209" s="214">
        <f t="shared" si="76"/>
        <v>0</v>
      </c>
    </row>
    <row r="210" spans="1:21">
      <c r="A210" s="20" t="s">
        <v>9</v>
      </c>
      <c r="B210" s="76"/>
      <c r="C210" s="192"/>
      <c r="D210" s="76"/>
      <c r="E210" s="214"/>
      <c r="F210" s="214"/>
      <c r="G210" s="214"/>
      <c r="H210" s="214"/>
      <c r="I210" s="214"/>
      <c r="J210" s="214">
        <f t="shared" si="75"/>
        <v>0</v>
      </c>
      <c r="L210" s="20" t="s">
        <v>9</v>
      </c>
      <c r="M210" s="76"/>
      <c r="N210" s="192"/>
      <c r="O210" s="76"/>
      <c r="P210" s="214"/>
      <c r="Q210" s="214"/>
      <c r="R210" s="214"/>
      <c r="S210" s="214"/>
      <c r="T210" s="214"/>
      <c r="U210" s="214">
        <f t="shared" si="76"/>
        <v>0</v>
      </c>
    </row>
    <row r="211" spans="1:21">
      <c r="A211" s="20" t="s">
        <v>10</v>
      </c>
      <c r="B211" s="76"/>
      <c r="C211" s="192"/>
      <c r="D211" s="76"/>
      <c r="E211" s="214"/>
      <c r="F211" s="214"/>
      <c r="G211" s="214"/>
      <c r="H211" s="214"/>
      <c r="I211" s="214"/>
      <c r="J211" s="214">
        <f t="shared" si="75"/>
        <v>0</v>
      </c>
      <c r="L211" s="20" t="s">
        <v>10</v>
      </c>
      <c r="M211" s="76"/>
      <c r="N211" s="192"/>
      <c r="O211" s="76"/>
      <c r="P211" s="214"/>
      <c r="Q211" s="214"/>
      <c r="R211" s="214"/>
      <c r="S211" s="214"/>
      <c r="T211" s="214"/>
      <c r="U211" s="214">
        <f t="shared" si="76"/>
        <v>0</v>
      </c>
    </row>
    <row r="212" spans="1:21">
      <c r="A212" s="27" t="s">
        <v>11</v>
      </c>
      <c r="B212" s="284"/>
      <c r="C212" s="200"/>
      <c r="D212" s="284"/>
      <c r="E212" s="231"/>
      <c r="F212" s="231"/>
      <c r="G212" s="231"/>
      <c r="H212" s="231"/>
      <c r="I212" s="231"/>
      <c r="J212" s="231">
        <f t="shared" si="75"/>
        <v>0</v>
      </c>
      <c r="L212" s="27" t="s">
        <v>11</v>
      </c>
      <c r="M212" s="284"/>
      <c r="N212" s="200"/>
      <c r="O212" s="284"/>
      <c r="P212" s="231"/>
      <c r="Q212" s="231"/>
      <c r="R212" s="231"/>
      <c r="S212" s="231"/>
      <c r="T212" s="231"/>
      <c r="U212" s="231">
        <f t="shared" si="76"/>
        <v>0</v>
      </c>
    </row>
    <row r="213" spans="1:21">
      <c r="A213" s="27" t="s">
        <v>12</v>
      </c>
      <c r="B213" s="284"/>
      <c r="C213" s="200"/>
      <c r="D213" s="284"/>
      <c r="E213" s="231"/>
      <c r="F213" s="231"/>
      <c r="G213" s="231"/>
      <c r="H213" s="231"/>
      <c r="I213" s="231"/>
      <c r="J213" s="231">
        <f t="shared" si="75"/>
        <v>0</v>
      </c>
      <c r="L213" s="27" t="s">
        <v>12</v>
      </c>
      <c r="M213" s="284"/>
      <c r="N213" s="200"/>
      <c r="O213" s="284"/>
      <c r="P213" s="231"/>
      <c r="Q213" s="231"/>
      <c r="R213" s="231"/>
      <c r="S213" s="231"/>
      <c r="T213" s="231"/>
      <c r="U213" s="231">
        <f t="shared" si="76"/>
        <v>0</v>
      </c>
    </row>
    <row r="214" spans="1:21">
      <c r="A214" s="31" t="s">
        <v>13</v>
      </c>
      <c r="B214" s="209">
        <f>SUM(B207:B211)</f>
        <v>0</v>
      </c>
      <c r="C214" s="209">
        <f t="shared" ref="C214:I214" si="77">SUM(C207:C211)</f>
        <v>0</v>
      </c>
      <c r="D214" s="209">
        <f t="shared" si="77"/>
        <v>0</v>
      </c>
      <c r="E214" s="209">
        <f t="shared" si="77"/>
        <v>0</v>
      </c>
      <c r="F214" s="209">
        <f t="shared" si="77"/>
        <v>0</v>
      </c>
      <c r="G214" s="209">
        <f t="shared" si="77"/>
        <v>0</v>
      </c>
      <c r="H214" s="209">
        <f t="shared" si="77"/>
        <v>0</v>
      </c>
      <c r="I214" s="209">
        <f t="shared" si="77"/>
        <v>0</v>
      </c>
      <c r="J214" s="209">
        <f>SUM(J207:J211)</f>
        <v>0</v>
      </c>
      <c r="L214" s="31" t="s">
        <v>13</v>
      </c>
      <c r="M214" s="209">
        <f>SUM(M207:M211)</f>
        <v>0</v>
      </c>
      <c r="N214" s="209">
        <f t="shared" ref="N214:T214" si="78">SUM(N207:N211)</f>
        <v>0</v>
      </c>
      <c r="O214" s="209">
        <f t="shared" si="78"/>
        <v>0</v>
      </c>
      <c r="P214" s="209">
        <f t="shared" si="78"/>
        <v>0</v>
      </c>
      <c r="Q214" s="209">
        <f t="shared" si="78"/>
        <v>0</v>
      </c>
      <c r="R214" s="209">
        <f t="shared" si="78"/>
        <v>0</v>
      </c>
      <c r="S214" s="209">
        <f t="shared" si="78"/>
        <v>0</v>
      </c>
      <c r="T214" s="209">
        <f t="shared" si="78"/>
        <v>0</v>
      </c>
      <c r="U214" s="209">
        <f>SUM(U207:U211)</f>
        <v>0</v>
      </c>
    </row>
    <row r="215" spans="1:21">
      <c r="A215" s="20" t="s">
        <v>14</v>
      </c>
      <c r="B215" s="79">
        <f t="shared" ref="B215:I215" si="79">+B197</f>
        <v>-1.5517342999999997</v>
      </c>
      <c r="C215" s="79">
        <f t="shared" si="79"/>
        <v>0</v>
      </c>
      <c r="D215" s="79">
        <f t="shared" si="79"/>
        <v>0</v>
      </c>
      <c r="E215" s="79">
        <f t="shared" si="79"/>
        <v>0</v>
      </c>
      <c r="F215" s="79">
        <f t="shared" si="79"/>
        <v>0</v>
      </c>
      <c r="G215" s="79">
        <f t="shared" si="79"/>
        <v>0</v>
      </c>
      <c r="H215" s="79">
        <f t="shared" si="79"/>
        <v>0</v>
      </c>
      <c r="I215" s="79">
        <f t="shared" si="79"/>
        <v>0</v>
      </c>
      <c r="J215" s="214">
        <f t="shared" si="75"/>
        <v>-1.5517342999999997</v>
      </c>
      <c r="L215" s="20" t="s">
        <v>14</v>
      </c>
      <c r="M215" s="79">
        <f t="shared" ref="M215:T215" si="80">+M197</f>
        <v>-1.5821445566928698</v>
      </c>
      <c r="N215" s="79">
        <f t="shared" si="80"/>
        <v>0</v>
      </c>
      <c r="O215" s="79">
        <f t="shared" si="80"/>
        <v>0</v>
      </c>
      <c r="P215" s="79">
        <f t="shared" si="80"/>
        <v>0</v>
      </c>
      <c r="Q215" s="79">
        <f t="shared" si="80"/>
        <v>0</v>
      </c>
      <c r="R215" s="79">
        <f t="shared" si="80"/>
        <v>0</v>
      </c>
      <c r="S215" s="79">
        <f t="shared" si="80"/>
        <v>0</v>
      </c>
      <c r="T215" s="79">
        <f t="shared" si="80"/>
        <v>0</v>
      </c>
      <c r="U215" s="214">
        <f t="shared" ref="U215:U217" si="81">SUM(M215:T215)</f>
        <v>-1.5821445566928698</v>
      </c>
    </row>
    <row r="216" spans="1:21">
      <c r="A216" s="20" t="s">
        <v>15</v>
      </c>
      <c r="B216" s="76"/>
      <c r="C216" s="76"/>
      <c r="D216" s="76"/>
      <c r="E216" s="76"/>
      <c r="F216" s="76"/>
      <c r="G216" s="76"/>
      <c r="H216" s="76"/>
      <c r="I216" s="76"/>
      <c r="J216" s="217"/>
      <c r="L216" s="20" t="s">
        <v>15</v>
      </c>
      <c r="M216" s="76"/>
      <c r="N216" s="76"/>
      <c r="O216" s="76"/>
      <c r="P216" s="76"/>
      <c r="Q216" s="76"/>
      <c r="R216" s="76"/>
      <c r="S216" s="76"/>
      <c r="T216" s="76"/>
      <c r="U216" s="214">
        <f t="shared" si="81"/>
        <v>0</v>
      </c>
    </row>
    <row r="217" spans="1:21">
      <c r="A217" s="20" t="s">
        <v>51</v>
      </c>
      <c r="B217" s="210"/>
      <c r="C217" s="210"/>
      <c r="D217" s="210"/>
      <c r="E217" s="210"/>
      <c r="F217" s="210"/>
      <c r="G217" s="210"/>
      <c r="H217" s="210"/>
      <c r="I217" s="210"/>
      <c r="J217" s="221"/>
      <c r="L217" s="20" t="s">
        <v>51</v>
      </c>
      <c r="M217" s="210"/>
      <c r="N217" s="210"/>
      <c r="O217" s="210"/>
      <c r="P217" s="210"/>
      <c r="Q217" s="210"/>
      <c r="R217" s="210"/>
      <c r="S217" s="210"/>
      <c r="T217" s="210"/>
      <c r="U217" s="214">
        <f t="shared" si="81"/>
        <v>0</v>
      </c>
    </row>
    <row r="218" spans="1:21">
      <c r="A218" s="31" t="s">
        <v>17</v>
      </c>
      <c r="B218" s="209">
        <f>SUM(B215:B217)</f>
        <v>-1.5517342999999997</v>
      </c>
      <c r="C218" s="209">
        <f t="shared" ref="C218:I218" si="82">SUM(C215:C217)</f>
        <v>0</v>
      </c>
      <c r="D218" s="209">
        <f t="shared" si="82"/>
        <v>0</v>
      </c>
      <c r="E218" s="209">
        <f t="shared" si="82"/>
        <v>0</v>
      </c>
      <c r="F218" s="209">
        <f t="shared" si="82"/>
        <v>0</v>
      </c>
      <c r="G218" s="209">
        <f t="shared" si="82"/>
        <v>0</v>
      </c>
      <c r="H218" s="209">
        <f t="shared" si="82"/>
        <v>0</v>
      </c>
      <c r="I218" s="209">
        <f t="shared" si="82"/>
        <v>0</v>
      </c>
      <c r="J218" s="209">
        <f>SUM(J215:J217)</f>
        <v>-1.5517342999999997</v>
      </c>
      <c r="L218" s="31" t="s">
        <v>17</v>
      </c>
      <c r="M218" s="209">
        <f>SUM(M215:M217)</f>
        <v>-1.5821445566928698</v>
      </c>
      <c r="N218" s="209">
        <f t="shared" ref="N218:T218" si="83">SUM(N215:N217)</f>
        <v>0</v>
      </c>
      <c r="O218" s="209">
        <f t="shared" si="83"/>
        <v>0</v>
      </c>
      <c r="P218" s="209">
        <f t="shared" si="83"/>
        <v>0</v>
      </c>
      <c r="Q218" s="209">
        <f t="shared" si="83"/>
        <v>0</v>
      </c>
      <c r="R218" s="209">
        <f t="shared" si="83"/>
        <v>0</v>
      </c>
      <c r="S218" s="209">
        <f t="shared" si="83"/>
        <v>0</v>
      </c>
      <c r="T218" s="209">
        <f t="shared" si="83"/>
        <v>0</v>
      </c>
      <c r="U218" s="209">
        <f>SUM(U215:U217)</f>
        <v>-1.5821445566928698</v>
      </c>
    </row>
    <row r="219" spans="1:21">
      <c r="A219" s="40" t="s">
        <v>18</v>
      </c>
      <c r="B219" s="76"/>
      <c r="C219" s="192"/>
      <c r="D219" s="285"/>
      <c r="E219" s="214"/>
      <c r="F219" s="286"/>
      <c r="G219" s="214"/>
      <c r="H219" s="286"/>
      <c r="I219" s="214"/>
      <c r="J219" s="214">
        <f t="shared" ref="J219:J225" si="84">SUM(B219:I219)</f>
        <v>0</v>
      </c>
      <c r="L219" s="40" t="s">
        <v>18</v>
      </c>
      <c r="M219" s="76"/>
      <c r="N219" s="192"/>
      <c r="O219" s="285"/>
      <c r="P219" s="214"/>
      <c r="Q219" s="286"/>
      <c r="R219" s="214"/>
      <c r="S219" s="286"/>
      <c r="T219" s="214"/>
      <c r="U219" s="214">
        <f t="shared" ref="U219:U225" si="85">SUM(M219:T219)</f>
        <v>0</v>
      </c>
    </row>
    <row r="220" spans="1:21">
      <c r="A220" s="40" t="s">
        <v>19</v>
      </c>
      <c r="B220" s="189"/>
      <c r="C220" s="214"/>
      <c r="D220" s="285"/>
      <c r="E220" s="214"/>
      <c r="F220" s="286"/>
      <c r="G220" s="214"/>
      <c r="H220" s="286"/>
      <c r="I220" s="214"/>
      <c r="J220" s="214">
        <f t="shared" si="84"/>
        <v>0</v>
      </c>
      <c r="L220" s="40" t="s">
        <v>19</v>
      </c>
      <c r="M220" s="189"/>
      <c r="N220" s="214"/>
      <c r="O220" s="285"/>
      <c r="P220" s="214"/>
      <c r="Q220" s="286"/>
      <c r="R220" s="214"/>
      <c r="S220" s="286"/>
      <c r="T220" s="214"/>
      <c r="U220" s="214">
        <f t="shared" si="85"/>
        <v>0</v>
      </c>
    </row>
    <row r="221" spans="1:21">
      <c r="A221" s="40" t="s">
        <v>20</v>
      </c>
      <c r="B221" s="189"/>
      <c r="C221" s="214"/>
      <c r="D221" s="285"/>
      <c r="E221" s="214"/>
      <c r="F221" s="286"/>
      <c r="G221" s="214"/>
      <c r="H221" s="286"/>
      <c r="I221" s="214"/>
      <c r="J221" s="214">
        <f t="shared" si="84"/>
        <v>0</v>
      </c>
      <c r="L221" s="40" t="s">
        <v>20</v>
      </c>
      <c r="M221" s="189"/>
      <c r="N221" s="214"/>
      <c r="O221" s="285"/>
      <c r="P221" s="214"/>
      <c r="Q221" s="286"/>
      <c r="R221" s="214"/>
      <c r="S221" s="286"/>
      <c r="T221" s="214"/>
      <c r="U221" s="214">
        <f t="shared" si="85"/>
        <v>0</v>
      </c>
    </row>
    <row r="222" spans="1:21">
      <c r="A222" s="40" t="s">
        <v>21</v>
      </c>
      <c r="B222" s="189"/>
      <c r="C222" s="214"/>
      <c r="D222" s="285"/>
      <c r="E222" s="214"/>
      <c r="F222" s="286"/>
      <c r="G222" s="214"/>
      <c r="H222" s="286"/>
      <c r="I222" s="214"/>
      <c r="J222" s="214">
        <f t="shared" si="84"/>
        <v>0</v>
      </c>
      <c r="L222" s="40" t="s">
        <v>21</v>
      </c>
      <c r="M222" s="189"/>
      <c r="N222" s="214"/>
      <c r="O222" s="285"/>
      <c r="P222" s="214"/>
      <c r="Q222" s="286"/>
      <c r="R222" s="214"/>
      <c r="S222" s="286"/>
      <c r="T222" s="214"/>
      <c r="U222" s="214">
        <f t="shared" si="85"/>
        <v>0</v>
      </c>
    </row>
    <row r="223" spans="1:21">
      <c r="A223" s="40" t="s">
        <v>22</v>
      </c>
      <c r="B223" s="189"/>
      <c r="C223" s="214"/>
      <c r="D223" s="285"/>
      <c r="E223" s="214"/>
      <c r="F223" s="286"/>
      <c r="G223" s="214"/>
      <c r="H223" s="286"/>
      <c r="I223" s="214"/>
      <c r="J223" s="214">
        <f t="shared" si="84"/>
        <v>0</v>
      </c>
      <c r="L223" s="40" t="s">
        <v>22</v>
      </c>
      <c r="M223" s="189"/>
      <c r="N223" s="214"/>
      <c r="O223" s="285"/>
      <c r="P223" s="214"/>
      <c r="Q223" s="286"/>
      <c r="R223" s="214"/>
      <c r="S223" s="286"/>
      <c r="T223" s="214"/>
      <c r="U223" s="214">
        <f t="shared" si="85"/>
        <v>0</v>
      </c>
    </row>
    <row r="224" spans="1:21">
      <c r="A224" s="40" t="s">
        <v>24</v>
      </c>
      <c r="B224" s="189"/>
      <c r="C224" s="214"/>
      <c r="D224" s="285"/>
      <c r="E224" s="214"/>
      <c r="F224" s="286"/>
      <c r="G224" s="214"/>
      <c r="H224" s="286"/>
      <c r="I224" s="214"/>
      <c r="J224" s="214">
        <f t="shared" si="84"/>
        <v>0</v>
      </c>
      <c r="L224" s="40" t="s">
        <v>24</v>
      </c>
      <c r="M224" s="189"/>
      <c r="N224" s="214"/>
      <c r="O224" s="285"/>
      <c r="P224" s="214"/>
      <c r="Q224" s="286"/>
      <c r="R224" s="214"/>
      <c r="S224" s="286"/>
      <c r="T224" s="214"/>
      <c r="U224" s="214">
        <f t="shared" si="85"/>
        <v>0</v>
      </c>
    </row>
    <row r="225" spans="1:21">
      <c r="A225" s="27" t="s">
        <v>57</v>
      </c>
      <c r="B225" s="197"/>
      <c r="C225" s="231"/>
      <c r="D225" s="287"/>
      <c r="E225" s="231"/>
      <c r="F225" s="288"/>
      <c r="G225" s="231"/>
      <c r="H225" s="288"/>
      <c r="I225" s="231"/>
      <c r="J225" s="231">
        <f t="shared" si="84"/>
        <v>0</v>
      </c>
      <c r="L225" s="27" t="s">
        <v>57</v>
      </c>
      <c r="M225" s="197"/>
      <c r="N225" s="231"/>
      <c r="O225" s="287"/>
      <c r="P225" s="231"/>
      <c r="Q225" s="288"/>
      <c r="R225" s="231"/>
      <c r="S225" s="288"/>
      <c r="T225" s="231"/>
      <c r="U225" s="231">
        <f t="shared" si="85"/>
        <v>0</v>
      </c>
    </row>
    <row r="226" spans="1:21">
      <c r="A226" s="45" t="s">
        <v>26</v>
      </c>
      <c r="B226" s="233">
        <f>SUM(B219:B224)</f>
        <v>0</v>
      </c>
      <c r="C226" s="233">
        <f t="shared" ref="C226:J226" si="86">SUM(C219:C224)</f>
        <v>0</v>
      </c>
      <c r="D226" s="233">
        <f t="shared" si="86"/>
        <v>0</v>
      </c>
      <c r="E226" s="233">
        <f t="shared" si="86"/>
        <v>0</v>
      </c>
      <c r="F226" s="233">
        <f t="shared" si="86"/>
        <v>0</v>
      </c>
      <c r="G226" s="233">
        <f t="shared" si="86"/>
        <v>0</v>
      </c>
      <c r="H226" s="233">
        <f t="shared" si="86"/>
        <v>0</v>
      </c>
      <c r="I226" s="233">
        <f t="shared" si="86"/>
        <v>0</v>
      </c>
      <c r="J226" s="233">
        <f t="shared" si="86"/>
        <v>0</v>
      </c>
      <c r="L226" s="45" t="s">
        <v>26</v>
      </c>
      <c r="M226" s="233">
        <f>SUM(M219:M224)</f>
        <v>0</v>
      </c>
      <c r="N226" s="233">
        <f t="shared" ref="N226:U226" si="87">SUM(N219:N224)</f>
        <v>0</v>
      </c>
      <c r="O226" s="233">
        <f t="shared" si="87"/>
        <v>0</v>
      </c>
      <c r="P226" s="233">
        <f t="shared" si="87"/>
        <v>0</v>
      </c>
      <c r="Q226" s="233">
        <f t="shared" si="87"/>
        <v>0</v>
      </c>
      <c r="R226" s="233">
        <f t="shared" si="87"/>
        <v>0</v>
      </c>
      <c r="S226" s="233">
        <f t="shared" si="87"/>
        <v>0</v>
      </c>
      <c r="T226" s="233">
        <f t="shared" si="87"/>
        <v>0</v>
      </c>
      <c r="U226" s="233">
        <f t="shared" si="87"/>
        <v>0</v>
      </c>
    </row>
    <row r="227" spans="1:21">
      <c r="A227" s="40" t="s">
        <v>27</v>
      </c>
      <c r="B227" s="239"/>
      <c r="C227" s="240"/>
      <c r="D227" s="289"/>
      <c r="E227" s="240"/>
      <c r="F227" s="290"/>
      <c r="G227" s="240"/>
      <c r="H227" s="290"/>
      <c r="I227" s="240"/>
      <c r="J227" s="240">
        <f>SUM(B227:I227)</f>
        <v>0</v>
      </c>
      <c r="L227" s="40" t="s">
        <v>27</v>
      </c>
      <c r="M227" s="239"/>
      <c r="N227" s="240"/>
      <c r="O227" s="289"/>
      <c r="P227" s="240"/>
      <c r="Q227" s="290"/>
      <c r="R227" s="240"/>
      <c r="S227" s="290"/>
      <c r="T227" s="240"/>
      <c r="U227" s="240">
        <f>SUM(M227:T227)</f>
        <v>0</v>
      </c>
    </row>
    <row r="228" spans="1:21">
      <c r="A228" s="40" t="s">
        <v>28</v>
      </c>
      <c r="B228" s="239"/>
      <c r="C228" s="240"/>
      <c r="D228" s="289"/>
      <c r="E228" s="240"/>
      <c r="F228" s="290"/>
      <c r="G228" s="240"/>
      <c r="H228" s="290"/>
      <c r="I228" s="240"/>
      <c r="J228" s="240">
        <f>SUM(B228:I228)</f>
        <v>0</v>
      </c>
      <c r="L228" s="40" t="s">
        <v>28</v>
      </c>
      <c r="M228" s="239"/>
      <c r="N228" s="240"/>
      <c r="O228" s="289"/>
      <c r="P228" s="240"/>
      <c r="Q228" s="290"/>
      <c r="R228" s="240"/>
      <c r="S228" s="290"/>
      <c r="T228" s="240"/>
      <c r="U228" s="240">
        <f>SUM(M228:T228)</f>
        <v>0</v>
      </c>
    </row>
    <row r="229" spans="1:21">
      <c r="A229" s="50" t="s">
        <v>29</v>
      </c>
      <c r="B229" s="189"/>
      <c r="C229" s="214"/>
      <c r="D229" s="285"/>
      <c r="E229" s="214"/>
      <c r="F229" s="286"/>
      <c r="G229" s="214"/>
      <c r="H229" s="286"/>
      <c r="I229" s="214"/>
      <c r="J229" s="76">
        <f>SUM(B229:I229)</f>
        <v>0</v>
      </c>
      <c r="L229" s="50" t="s">
        <v>29</v>
      </c>
      <c r="M229" s="189"/>
      <c r="N229" s="214"/>
      <c r="O229" s="285"/>
      <c r="P229" s="214"/>
      <c r="Q229" s="286"/>
      <c r="R229" s="214"/>
      <c r="S229" s="286"/>
      <c r="T229" s="214"/>
      <c r="U229" s="76">
        <f>SUM(M229:T229)</f>
        <v>0</v>
      </c>
    </row>
    <row r="230" spans="1:21">
      <c r="A230" s="51" t="s">
        <v>30</v>
      </c>
      <c r="B230" s="233">
        <f>SUM(B226,B229)</f>
        <v>0</v>
      </c>
      <c r="C230" s="233">
        <f t="shared" ref="C230:J230" si="88">SUM(C226,C229)</f>
        <v>0</v>
      </c>
      <c r="D230" s="233">
        <f t="shared" si="88"/>
        <v>0</v>
      </c>
      <c r="E230" s="233">
        <f t="shared" si="88"/>
        <v>0</v>
      </c>
      <c r="F230" s="233">
        <f t="shared" si="88"/>
        <v>0</v>
      </c>
      <c r="G230" s="233">
        <f t="shared" si="88"/>
        <v>0</v>
      </c>
      <c r="H230" s="233">
        <f t="shared" si="88"/>
        <v>0</v>
      </c>
      <c r="I230" s="233">
        <f t="shared" si="88"/>
        <v>0</v>
      </c>
      <c r="J230" s="233">
        <f t="shared" si="88"/>
        <v>0</v>
      </c>
      <c r="L230" s="51" t="s">
        <v>30</v>
      </c>
      <c r="M230" s="233">
        <f>SUM(M226,M229)</f>
        <v>0</v>
      </c>
      <c r="N230" s="233">
        <f t="shared" ref="N230:U230" si="89">SUM(N226,N229)</f>
        <v>0</v>
      </c>
      <c r="O230" s="233">
        <f t="shared" si="89"/>
        <v>0</v>
      </c>
      <c r="P230" s="233">
        <f t="shared" si="89"/>
        <v>0</v>
      </c>
      <c r="Q230" s="233">
        <f t="shared" si="89"/>
        <v>0</v>
      </c>
      <c r="R230" s="233">
        <f t="shared" si="89"/>
        <v>0</v>
      </c>
      <c r="S230" s="233">
        <f t="shared" si="89"/>
        <v>0</v>
      </c>
      <c r="T230" s="233">
        <f t="shared" si="89"/>
        <v>0</v>
      </c>
      <c r="U230" s="233">
        <f t="shared" si="89"/>
        <v>0</v>
      </c>
    </row>
    <row r="231" spans="1:21">
      <c r="A231" s="291" t="s">
        <v>32</v>
      </c>
      <c r="B231" s="66">
        <f>SUM(B230,B218,B214)</f>
        <v>-1.5517342999999997</v>
      </c>
      <c r="C231" s="66">
        <f t="shared" ref="C231:J231" si="90">SUM(C230,C218,C214)</f>
        <v>0</v>
      </c>
      <c r="D231" s="66">
        <f t="shared" si="90"/>
        <v>0</v>
      </c>
      <c r="E231" s="66">
        <f t="shared" si="90"/>
        <v>0</v>
      </c>
      <c r="F231" s="66">
        <f t="shared" si="90"/>
        <v>0</v>
      </c>
      <c r="G231" s="66">
        <f t="shared" si="90"/>
        <v>0</v>
      </c>
      <c r="H231" s="66">
        <f t="shared" si="90"/>
        <v>0</v>
      </c>
      <c r="I231" s="66">
        <f t="shared" si="90"/>
        <v>0</v>
      </c>
      <c r="J231" s="66">
        <f t="shared" si="90"/>
        <v>-1.5517342999999997</v>
      </c>
      <c r="L231" s="291" t="s">
        <v>32</v>
      </c>
      <c r="M231" s="66">
        <f>SUM(M230,M218,M214)</f>
        <v>-1.5821445566928698</v>
      </c>
      <c r="N231" s="66">
        <f t="shared" ref="N231:U231" si="91">SUM(N230,N218,N214)</f>
        <v>0</v>
      </c>
      <c r="O231" s="66">
        <f t="shared" si="91"/>
        <v>0</v>
      </c>
      <c r="P231" s="66">
        <f t="shared" si="91"/>
        <v>0</v>
      </c>
      <c r="Q231" s="66">
        <f t="shared" si="91"/>
        <v>0</v>
      </c>
      <c r="R231" s="66">
        <f t="shared" si="91"/>
        <v>0</v>
      </c>
      <c r="S231" s="66">
        <f t="shared" si="91"/>
        <v>0</v>
      </c>
      <c r="T231" s="66">
        <f t="shared" si="91"/>
        <v>0</v>
      </c>
      <c r="U231" s="66">
        <f t="shared" si="91"/>
        <v>-1.5821445566928698</v>
      </c>
    </row>
    <row r="232" spans="1:21">
      <c r="M232" s="9"/>
      <c r="O232" s="8"/>
    </row>
    <row r="233" spans="1:21">
      <c r="B233" s="292" t="str">
        <f>IF(B199=B231,"OK","Error")</f>
        <v>OK</v>
      </c>
      <c r="C233" s="292" t="str">
        <f t="shared" ref="C233:J233" si="92">IF(C199=C231,"OK","Error")</f>
        <v>OK</v>
      </c>
      <c r="D233" s="292" t="str">
        <f t="shared" si="92"/>
        <v>OK</v>
      </c>
      <c r="E233" s="292" t="str">
        <f t="shared" si="92"/>
        <v>OK</v>
      </c>
      <c r="F233" s="292" t="str">
        <f t="shared" si="92"/>
        <v>OK</v>
      </c>
      <c r="G233" s="292" t="str">
        <f t="shared" si="92"/>
        <v>OK</v>
      </c>
      <c r="H233" s="292" t="str">
        <f t="shared" si="92"/>
        <v>OK</v>
      </c>
      <c r="I233" s="292" t="str">
        <f t="shared" si="92"/>
        <v>OK</v>
      </c>
      <c r="J233" s="292" t="str">
        <f t="shared" si="92"/>
        <v>OK</v>
      </c>
    </row>
    <row r="235" spans="1:21">
      <c r="A235" s="7" t="s">
        <v>71</v>
      </c>
    </row>
    <row r="236" spans="1:21">
      <c r="A236" s="7" t="s">
        <v>72</v>
      </c>
    </row>
  </sheetData>
  <mergeCells count="14">
    <mergeCell ref="B151:J151"/>
    <mergeCell ref="M151:U151"/>
    <mergeCell ref="B190:J190"/>
    <mergeCell ref="M190:U190"/>
    <mergeCell ref="B205:J205"/>
    <mergeCell ref="M205:U205"/>
    <mergeCell ref="B110:J110"/>
    <mergeCell ref="M110:U110"/>
    <mergeCell ref="X110:AF110"/>
    <mergeCell ref="B9:B10"/>
    <mergeCell ref="C9:I10"/>
    <mergeCell ref="B59:J60"/>
    <mergeCell ref="M59:U60"/>
    <mergeCell ref="X59:AF60"/>
  </mergeCells>
  <conditionalFormatting sqref="J187">
    <cfRule type="cellIs" dxfId="2" priority="3" operator="equal">
      <formula>"error"</formula>
    </cfRule>
  </conditionalFormatting>
  <conditionalFormatting sqref="B187">
    <cfRule type="cellIs" dxfId="1" priority="2" operator="equal">
      <formula>"error"</formula>
    </cfRule>
  </conditionalFormatting>
  <conditionalFormatting sqref="B186:J186">
    <cfRule type="cellIs" dxfId="0" priority="1" operator="equal">
      <formula>"error"</formula>
    </cfRule>
  </conditionalFormatting>
  <dataValidations count="1">
    <dataValidation type="list" allowBlank="1" showInputMessage="1" showErrorMessage="1" sqref="A1:B1">
      <formula1>A933:A938</formula1>
    </dataValidation>
  </dataValidations>
  <pageMargins left="0.70866141732283472" right="0.70866141732283472" top="0.74803149606299213" bottom="0.74803149606299213" header="0.31496062992125984" footer="0.31496062992125984"/>
  <pageSetup paperSize="8" fitToHeight="2" orientation="landscape" r:id="rId1"/>
  <rowBreaks count="1" manualBreakCount="1">
    <brk id="10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AI93"/>
  <sheetViews>
    <sheetView workbookViewId="0">
      <selection activeCell="B29" sqref="B29"/>
    </sheetView>
  </sheetViews>
  <sheetFormatPr defaultRowHeight="12.75"/>
  <cols>
    <col min="1" max="1" width="33.7109375" style="7" customWidth="1"/>
    <col min="2" max="2" width="19.85546875" style="7" customWidth="1"/>
    <col min="3" max="3" width="9.140625" style="7"/>
    <col min="4" max="4" width="11.5703125" style="7" bestFit="1" customWidth="1"/>
    <col min="5" max="5" width="11" style="8" customWidth="1"/>
    <col min="6" max="11" width="11.28515625" style="7" bestFit="1" customWidth="1"/>
    <col min="12" max="12" width="9.140625" style="7"/>
    <col min="13" max="13" width="32.85546875" style="7" customWidth="1"/>
    <col min="14" max="14" width="9.140625" style="7"/>
    <col min="15" max="15" width="10.28515625" style="7" customWidth="1"/>
    <col min="16" max="16" width="9.42578125" style="7" bestFit="1" customWidth="1"/>
    <col min="17" max="17" width="10.28515625" style="8" bestFit="1" customWidth="1"/>
    <col min="18" max="22" width="9.42578125" style="7" bestFit="1" customWidth="1"/>
    <col min="23" max="23" width="13.28515625" style="7" bestFit="1" customWidth="1"/>
    <col min="24" max="24" width="9.140625" style="7"/>
    <col min="25" max="25" width="32.42578125" style="7" customWidth="1"/>
    <col min="26" max="26" width="9.140625" style="7"/>
    <col min="27" max="34" width="10.85546875" style="7" bestFit="1" customWidth="1"/>
    <col min="35" max="35" width="13.85546875" style="7" bestFit="1" customWidth="1"/>
    <col min="36" max="16384" width="9.140625" style="7"/>
  </cols>
  <sheetData>
    <row r="1" spans="1:35" s="3" customFormat="1" ht="24.75">
      <c r="A1" s="1" t="str">
        <f>'[6]Universal data'!A1</f>
        <v>Regulatory Reporting Pack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s="3" customFormat="1" ht="24.75">
      <c r="A2" s="4" t="str">
        <f>'[6]Universal data'!A2</f>
        <v>Northern Gas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s="3" customFormat="1" ht="24.75">
      <c r="A3" s="5" t="str">
        <f>+'[6]Universal data'!A3</f>
        <v>2014/15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5" spans="1:35" ht="19.5">
      <c r="A5" s="6" t="s">
        <v>73</v>
      </c>
    </row>
    <row r="7" spans="1:35">
      <c r="A7" s="8" t="s">
        <v>74</v>
      </c>
      <c r="B7" s="8"/>
    </row>
    <row r="9" spans="1:35" ht="12.75" customHeight="1">
      <c r="A9" s="10"/>
      <c r="B9" s="293"/>
      <c r="C9" s="478" t="s">
        <v>75</v>
      </c>
      <c r="D9" s="479" t="s">
        <v>3</v>
      </c>
      <c r="E9" s="479"/>
      <c r="F9" s="479"/>
      <c r="G9" s="479"/>
      <c r="H9" s="479"/>
      <c r="I9" s="479"/>
      <c r="J9" s="480"/>
      <c r="K9" s="294"/>
    </row>
    <row r="10" spans="1:35">
      <c r="A10" s="12"/>
      <c r="B10" s="295"/>
      <c r="C10" s="478"/>
      <c r="D10" s="481"/>
      <c r="E10" s="481"/>
      <c r="F10" s="481"/>
      <c r="G10" s="481"/>
      <c r="H10" s="481"/>
      <c r="I10" s="481"/>
      <c r="J10" s="482"/>
      <c r="K10" s="296"/>
    </row>
    <row r="11" spans="1:35" ht="38.25">
      <c r="A11" s="14" t="s">
        <v>76</v>
      </c>
      <c r="B11" s="297"/>
      <c r="C11" s="298">
        <v>2014</v>
      </c>
      <c r="D11" s="299">
        <v>2015</v>
      </c>
      <c r="E11" s="299">
        <v>2016</v>
      </c>
      <c r="F11" s="300">
        <v>2017</v>
      </c>
      <c r="G11" s="299">
        <v>2018</v>
      </c>
      <c r="H11" s="300">
        <v>2019</v>
      </c>
      <c r="I11" s="299">
        <v>2020</v>
      </c>
      <c r="J11" s="301">
        <v>2021</v>
      </c>
      <c r="K11" s="302" t="s">
        <v>5</v>
      </c>
    </row>
    <row r="12" spans="1:35">
      <c r="A12" s="303" t="s">
        <v>77</v>
      </c>
      <c r="B12" s="304"/>
      <c r="C12" s="305"/>
      <c r="D12" s="306"/>
      <c r="E12" s="307"/>
      <c r="F12" s="306"/>
      <c r="G12" s="308"/>
      <c r="H12" s="308"/>
      <c r="I12" s="308"/>
      <c r="J12" s="308"/>
      <c r="K12" s="309"/>
    </row>
    <row r="13" spans="1:35" ht="14.25">
      <c r="A13" s="310" t="s">
        <v>78</v>
      </c>
      <c r="B13" s="311" t="s">
        <v>79</v>
      </c>
      <c r="C13" s="312">
        <f t="shared" ref="C13:C15" si="0">+C42</f>
        <v>9579</v>
      </c>
      <c r="D13" s="312">
        <f>+'[6]7.4 PREs, Reports and Repairs '!$C$27</f>
        <v>8466</v>
      </c>
      <c r="E13" s="313">
        <v>9800</v>
      </c>
      <c r="F13" s="313">
        <v>9506</v>
      </c>
      <c r="G13" s="313">
        <v>9220.82</v>
      </c>
      <c r="H13" s="313">
        <v>8944.1953999999987</v>
      </c>
      <c r="I13" s="313">
        <v>8675.869537999999</v>
      </c>
      <c r="J13" s="313">
        <v>8415.5934518599988</v>
      </c>
      <c r="K13" s="314">
        <f>SUM(C13:J13)</f>
        <v>72607.47838986</v>
      </c>
    </row>
    <row r="14" spans="1:35" ht="14.25">
      <c r="A14" s="310" t="s">
        <v>80</v>
      </c>
      <c r="B14" s="311" t="s">
        <v>79</v>
      </c>
      <c r="C14" s="312">
        <f t="shared" si="0"/>
        <v>12130</v>
      </c>
      <c r="D14" s="312">
        <f>+'[6]7.4 PREs, Reports and Repairs '!$C$28</f>
        <v>8846</v>
      </c>
      <c r="E14" s="313">
        <v>12700</v>
      </c>
      <c r="F14" s="313">
        <v>12319</v>
      </c>
      <c r="G14" s="313">
        <v>11949.43</v>
      </c>
      <c r="H14" s="313">
        <v>11590.947099999999</v>
      </c>
      <c r="I14" s="313">
        <v>11243.218686999999</v>
      </c>
      <c r="J14" s="313">
        <v>10905.922126389998</v>
      </c>
      <c r="K14" s="314">
        <f>SUM(C14:J14)</f>
        <v>91684.517913389995</v>
      </c>
    </row>
    <row r="15" spans="1:35" ht="14.25">
      <c r="A15" s="310" t="s">
        <v>81</v>
      </c>
      <c r="B15" s="311" t="s">
        <v>79</v>
      </c>
      <c r="C15" s="312">
        <f t="shared" si="0"/>
        <v>1</v>
      </c>
      <c r="D15" s="312">
        <f>-'[6]3.9 LP Gasholders'!$E$28</f>
        <v>2</v>
      </c>
      <c r="E15" s="313">
        <v>2</v>
      </c>
      <c r="F15" s="313">
        <v>3</v>
      </c>
      <c r="G15" s="313">
        <v>3</v>
      </c>
      <c r="H15" s="313">
        <v>3</v>
      </c>
      <c r="I15" s="313">
        <v>4</v>
      </c>
      <c r="J15" s="313">
        <v>5</v>
      </c>
      <c r="K15" s="314">
        <f>SUM(C15:J15)</f>
        <v>23</v>
      </c>
    </row>
    <row r="16" spans="1:35">
      <c r="A16" s="315"/>
      <c r="B16" s="316"/>
      <c r="C16" s="317"/>
      <c r="D16" s="317"/>
      <c r="E16" s="318"/>
      <c r="F16" s="319"/>
      <c r="G16" s="320"/>
      <c r="H16" s="320"/>
      <c r="I16" s="320"/>
      <c r="J16" s="320"/>
      <c r="K16" s="321"/>
    </row>
    <row r="17" spans="1:11">
      <c r="A17" s="322" t="s">
        <v>82</v>
      </c>
      <c r="B17" s="323"/>
      <c r="C17" s="324"/>
      <c r="D17" s="324"/>
      <c r="E17" s="325"/>
      <c r="F17" s="326"/>
      <c r="G17" s="327"/>
      <c r="H17" s="327"/>
      <c r="I17" s="327"/>
      <c r="J17" s="327"/>
      <c r="K17" s="328"/>
    </row>
    <row r="18" spans="1:11">
      <c r="A18" s="310" t="s">
        <v>83</v>
      </c>
      <c r="B18" s="329" t="s">
        <v>84</v>
      </c>
      <c r="C18" s="330">
        <f t="shared" ref="C18:C25" si="1">+C47</f>
        <v>8.5635000000000012</v>
      </c>
      <c r="D18" s="330">
        <f>'[6]4.4 Reinforcement'!$H$13+'[6]4.4 Reinforcement'!$H$19+'[6]4.4 Reinforcement'!$H$23+'[6]4.4 Reinforcement'!$H$29</f>
        <v>5.7684999999999995</v>
      </c>
      <c r="E18" s="331">
        <v>6.1643138357705274</v>
      </c>
      <c r="F18" s="331">
        <v>9.0842519685039349</v>
      </c>
      <c r="G18" s="331">
        <v>13.231830625711588</v>
      </c>
      <c r="H18" s="331">
        <v>12.901034860068798</v>
      </c>
      <c r="I18" s="331">
        <v>12.901034860068798</v>
      </c>
      <c r="J18" s="331">
        <v>12.570239094426007</v>
      </c>
      <c r="K18" s="332">
        <f t="shared" ref="K18:K25" si="2">SUM(C18:J18)</f>
        <v>81.184705244549662</v>
      </c>
    </row>
    <row r="19" spans="1:11" ht="14.25">
      <c r="A19" s="310" t="s">
        <v>85</v>
      </c>
      <c r="B19" s="311" t="s">
        <v>79</v>
      </c>
      <c r="C19" s="333">
        <f t="shared" si="1"/>
        <v>4</v>
      </c>
      <c r="D19" s="333">
        <f>SUM('[6]4.4 Reinforcement'!$H$30:$H$33)</f>
        <v>3</v>
      </c>
      <c r="E19" s="313">
        <v>3</v>
      </c>
      <c r="F19" s="313">
        <v>4</v>
      </c>
      <c r="G19" s="313">
        <v>4</v>
      </c>
      <c r="H19" s="313">
        <v>4</v>
      </c>
      <c r="I19" s="313">
        <v>4</v>
      </c>
      <c r="J19" s="313">
        <v>4</v>
      </c>
      <c r="K19" s="332">
        <f t="shared" si="2"/>
        <v>30</v>
      </c>
    </row>
    <row r="20" spans="1:11" ht="15" thickBot="1">
      <c r="A20" s="310" t="s">
        <v>86</v>
      </c>
      <c r="B20" s="334" t="s">
        <v>79</v>
      </c>
      <c r="C20" s="335">
        <f t="shared" si="1"/>
        <v>6310</v>
      </c>
      <c r="D20" s="335">
        <f>'[6]4.6 Connections '!$H$28</f>
        <v>6866</v>
      </c>
      <c r="E20" s="336">
        <v>7338.8</v>
      </c>
      <c r="F20" s="336">
        <v>6980.54</v>
      </c>
      <c r="G20" s="336">
        <v>6768.652</v>
      </c>
      <c r="H20" s="336">
        <v>6625.1053499999998</v>
      </c>
      <c r="I20" s="336">
        <v>6615.88033</v>
      </c>
      <c r="J20" s="336">
        <v>6635.9680733750001</v>
      </c>
      <c r="K20" s="337">
        <f t="shared" si="2"/>
        <v>54140.945753374996</v>
      </c>
    </row>
    <row r="21" spans="1:11" ht="15" thickTop="1">
      <c r="A21" s="310" t="s">
        <v>87</v>
      </c>
      <c r="B21" s="338" t="s">
        <v>79</v>
      </c>
      <c r="C21" s="339">
        <f t="shared" si="1"/>
        <v>1660</v>
      </c>
      <c r="D21" s="339">
        <f>+'[6]4.6 Connections '!$H$15</f>
        <v>2257</v>
      </c>
      <c r="E21" s="340">
        <v>2260</v>
      </c>
      <c r="F21" s="340">
        <v>2285</v>
      </c>
      <c r="G21" s="340">
        <v>2265</v>
      </c>
      <c r="H21" s="340">
        <v>2275</v>
      </c>
      <c r="I21" s="340">
        <v>2290</v>
      </c>
      <c r="J21" s="340">
        <v>2305</v>
      </c>
      <c r="K21" s="328">
        <f t="shared" si="2"/>
        <v>17597</v>
      </c>
    </row>
    <row r="22" spans="1:11" ht="14.25">
      <c r="A22" s="310" t="s">
        <v>88</v>
      </c>
      <c r="B22" s="311" t="s">
        <v>79</v>
      </c>
      <c r="C22" s="339">
        <f t="shared" si="1"/>
        <v>3051</v>
      </c>
      <c r="D22" s="339">
        <f>+'[6]4.6 Connections '!$H$16</f>
        <v>2504</v>
      </c>
      <c r="E22" s="340">
        <v>2300</v>
      </c>
      <c r="F22" s="340">
        <v>2250</v>
      </c>
      <c r="G22" s="340">
        <v>2250</v>
      </c>
      <c r="H22" s="340">
        <v>2200</v>
      </c>
      <c r="I22" s="340">
        <v>2170</v>
      </c>
      <c r="J22" s="340">
        <v>2150</v>
      </c>
      <c r="K22" s="314">
        <f t="shared" si="2"/>
        <v>18875</v>
      </c>
    </row>
    <row r="23" spans="1:11" ht="14.25">
      <c r="A23" s="310" t="s">
        <v>89</v>
      </c>
      <c r="B23" s="311" t="s">
        <v>79</v>
      </c>
      <c r="C23" s="339">
        <f t="shared" si="1"/>
        <v>435</v>
      </c>
      <c r="D23" s="339">
        <f>+'[6]4.6 Connections '!$H$18</f>
        <v>398</v>
      </c>
      <c r="E23" s="340">
        <v>400</v>
      </c>
      <c r="F23" s="340">
        <v>389</v>
      </c>
      <c r="G23" s="340">
        <v>395</v>
      </c>
      <c r="H23" s="340">
        <v>385</v>
      </c>
      <c r="I23" s="340">
        <v>380</v>
      </c>
      <c r="J23" s="340">
        <v>390</v>
      </c>
      <c r="K23" s="314">
        <f t="shared" si="2"/>
        <v>3172</v>
      </c>
    </row>
    <row r="24" spans="1:11" ht="14.25">
      <c r="A24" s="310" t="s">
        <v>90</v>
      </c>
      <c r="B24" s="311" t="s">
        <v>79</v>
      </c>
      <c r="C24" s="339">
        <f t="shared" si="1"/>
        <v>1164</v>
      </c>
      <c r="D24" s="339">
        <f>+'[6]4.6 Connections '!$H$17</f>
        <v>1707</v>
      </c>
      <c r="E24" s="340">
        <v>2382</v>
      </c>
      <c r="F24" s="340">
        <v>2056.54</v>
      </c>
      <c r="G24" s="340">
        <v>1858.652</v>
      </c>
      <c r="H24" s="340">
        <v>1765.10535</v>
      </c>
      <c r="I24" s="340">
        <v>1775.88033</v>
      </c>
      <c r="J24" s="340">
        <v>1790.9680733750001</v>
      </c>
      <c r="K24" s="314">
        <f t="shared" si="2"/>
        <v>14500.145753375</v>
      </c>
    </row>
    <row r="25" spans="1:11" ht="14.25">
      <c r="A25" s="310" t="s">
        <v>91</v>
      </c>
      <c r="B25" s="311" t="s">
        <v>92</v>
      </c>
      <c r="C25" s="333">
        <f t="shared" si="1"/>
        <v>464</v>
      </c>
      <c r="D25" s="333">
        <f>+'[6]4.5 Governor(Replacement)'!$I$20</f>
        <v>9</v>
      </c>
      <c r="E25" s="340">
        <v>35</v>
      </c>
      <c r="F25" s="340">
        <v>185</v>
      </c>
      <c r="G25" s="340">
        <v>175</v>
      </c>
      <c r="H25" s="340">
        <v>175</v>
      </c>
      <c r="I25" s="340">
        <v>175</v>
      </c>
      <c r="J25" s="340">
        <v>175</v>
      </c>
      <c r="K25" s="314">
        <f t="shared" si="2"/>
        <v>1393</v>
      </c>
    </row>
    <row r="26" spans="1:11">
      <c r="A26" s="310"/>
      <c r="B26" s="316"/>
      <c r="C26" s="317"/>
      <c r="D26" s="317"/>
      <c r="E26" s="318"/>
      <c r="F26" s="320"/>
      <c r="G26" s="320"/>
      <c r="H26" s="320"/>
      <c r="I26" s="320"/>
      <c r="J26" s="320"/>
      <c r="K26" s="321"/>
    </row>
    <row r="27" spans="1:11">
      <c r="A27" s="341" t="s">
        <v>93</v>
      </c>
      <c r="B27" s="323"/>
      <c r="C27" s="324"/>
      <c r="D27" s="324"/>
      <c r="E27" s="325"/>
      <c r="F27" s="327"/>
      <c r="G27" s="327"/>
      <c r="H27" s="327"/>
      <c r="I27" s="327"/>
      <c r="J27" s="327"/>
      <c r="K27" s="328"/>
    </row>
    <row r="28" spans="1:11">
      <c r="A28" s="310" t="s">
        <v>94</v>
      </c>
      <c r="B28" s="329" t="s">
        <v>84</v>
      </c>
      <c r="C28" s="330">
        <f t="shared" ref="C28:C34" si="3">+C57</f>
        <v>443.58169999999996</v>
      </c>
      <c r="D28" s="330">
        <f>+'[6]5.8 Decommissioned Sum '!$F$19</f>
        <v>487.00661999999937</v>
      </c>
      <c r="E28" s="313">
        <v>449.24829999999997</v>
      </c>
      <c r="F28" s="313">
        <v>440</v>
      </c>
      <c r="G28" s="313">
        <v>440</v>
      </c>
      <c r="H28" s="313">
        <v>440</v>
      </c>
      <c r="I28" s="313">
        <v>410</v>
      </c>
      <c r="J28" s="313">
        <v>410</v>
      </c>
      <c r="K28" s="314">
        <f t="shared" ref="K28:K34" si="4">SUM(C28:J28)</f>
        <v>3519.8366199999991</v>
      </c>
    </row>
    <row r="29" spans="1:11">
      <c r="A29" s="310" t="s">
        <v>95</v>
      </c>
      <c r="B29" s="329" t="s">
        <v>84</v>
      </c>
      <c r="C29" s="330">
        <f t="shared" si="3"/>
        <v>28.650399999999998</v>
      </c>
      <c r="D29" s="330">
        <f>+'[6]5.8 Decommissioned Sum '!$G$19+'[6]5.8 Decommissioned Sum '!$S$19</f>
        <v>24.832699999999988</v>
      </c>
      <c r="E29" s="313">
        <v>28.812781666666673</v>
      </c>
      <c r="F29" s="313">
        <v>25.924781666666668</v>
      </c>
      <c r="G29" s="313">
        <v>25.924781666666668</v>
      </c>
      <c r="H29" s="313">
        <v>25.924781666666668</v>
      </c>
      <c r="I29" s="313">
        <v>25.924781666666668</v>
      </c>
      <c r="J29" s="313">
        <v>25.924781666666668</v>
      </c>
      <c r="K29" s="314">
        <f t="shared" si="4"/>
        <v>211.91978999999998</v>
      </c>
    </row>
    <row r="30" spans="1:11">
      <c r="A30" s="310" t="s">
        <v>96</v>
      </c>
      <c r="B30" s="329" t="s">
        <v>84</v>
      </c>
      <c r="C30" s="330">
        <f t="shared" si="3"/>
        <v>7.1769999999999996</v>
      </c>
      <c r="D30" s="330">
        <f>+'[6]5.8 Decommissioned Sum '!$T$19</f>
        <v>5.4099999999999984</v>
      </c>
      <c r="E30" s="313">
        <v>5</v>
      </c>
      <c r="F30" s="313">
        <v>5</v>
      </c>
      <c r="G30" s="313">
        <v>5</v>
      </c>
      <c r="H30" s="313">
        <v>5</v>
      </c>
      <c r="I30" s="313">
        <v>5</v>
      </c>
      <c r="J30" s="313">
        <v>5</v>
      </c>
      <c r="K30" s="314">
        <f t="shared" si="4"/>
        <v>42.586999999999996</v>
      </c>
    </row>
    <row r="31" spans="1:11">
      <c r="A31" s="342" t="s">
        <v>97</v>
      </c>
      <c r="B31" s="343" t="s">
        <v>84</v>
      </c>
      <c r="C31" s="330">
        <f t="shared" si="3"/>
        <v>57.637399999999992</v>
      </c>
      <c r="D31" s="330">
        <f>+'[6]5.8 Decommissioned Sum '!$H$19+'[6]5.8 Decommissioned Sum '!$L$19+'[6]5.8 Decommissioned Sum '!$V$19+'[6]5.8 Decommissioned Sum '!$AA$19+'[6]5.8 Decommissioned Sum '!$AF$19</f>
        <v>75.564840000000132</v>
      </c>
      <c r="E31" s="313">
        <v>68.726429110412084</v>
      </c>
      <c r="F31" s="313">
        <v>64.777756512300527</v>
      </c>
      <c r="G31" s="313">
        <v>64.777756512300527</v>
      </c>
      <c r="H31" s="313">
        <v>64.777756512300527</v>
      </c>
      <c r="I31" s="313">
        <v>61.765291741115938</v>
      </c>
      <c r="J31" s="313">
        <v>61.765291741115938</v>
      </c>
      <c r="K31" s="314">
        <f t="shared" si="4"/>
        <v>519.79252212954566</v>
      </c>
    </row>
    <row r="32" spans="1:11">
      <c r="A32" s="342" t="s">
        <v>98</v>
      </c>
      <c r="B32" s="343" t="s">
        <v>84</v>
      </c>
      <c r="C32" s="330">
        <f t="shared" si="3"/>
        <v>25.035459999999997</v>
      </c>
      <c r="D32" s="330">
        <f>+'[6]5.8 Decommissioned Sum '!$J$19+'[6]5.8 Decommissioned Sum '!$K$19+'[6]5.8 Decommissioned Sum '!$M$19+'[6]5.8 Decommissioned Sum '!$O$19+'[6]5.8 Decommissioned Sum '!$P$19+'[6]5.8 Decommissioned Sum '!$Q$19+'[6]5.8 Decommissioned Sum '!$U$19+'[6]5.8 Decommissioned Sum '!$W$19+'[6]5.8 Decommissioned Sum '!$Y$19+'[6]5.8 Decommissioned Sum '!$Z$19+'[6]5.8 Decommissioned Sum '!$AB$19+'[6]5.8 Decommissioned Sum '!$AD$19+'[6]5.8 Decommissioned Sum '!$AE$19+'[6]5.8 Decommissioned Sum '!$AG$19</f>
        <v>24.313899999999997</v>
      </c>
      <c r="E32" s="313">
        <v>28.668839999999676</v>
      </c>
      <c r="F32" s="313">
        <v>28.668839999999676</v>
      </c>
      <c r="G32" s="313">
        <v>24.668839999999676</v>
      </c>
      <c r="H32" s="313">
        <v>24.668839999999676</v>
      </c>
      <c r="I32" s="313">
        <v>24.668839999999676</v>
      </c>
      <c r="J32" s="313">
        <v>24.668839999999676</v>
      </c>
      <c r="K32" s="314">
        <f t="shared" si="4"/>
        <v>205.36239999999805</v>
      </c>
    </row>
    <row r="33" spans="1:35" ht="14.25">
      <c r="A33" s="310" t="s">
        <v>99</v>
      </c>
      <c r="B33" s="338" t="s">
        <v>79</v>
      </c>
      <c r="C33" s="312">
        <f t="shared" si="3"/>
        <v>14588</v>
      </c>
      <c r="D33" s="312">
        <f>+'[6]5.2a Repex iron mains Tier 1'!$K$31+'[6]5.2a Repex iron mains Tier 1'!$K$33+'[6]5.2b Repex iron mains Tier 2A'!$K$27+'[6]5.2b Repex iron mains Tier 2A'!$K$29+'[6]5.2c Repex other mains'!$K$82+'[6]5.2d Repex diversions'!$I$38+'[6]5.2d Repex diversions'!$I$40+'[6]5.2d Repex diversions'!$I$42+'[6]5.2d Repex diversions'!$I$44</f>
        <v>16089</v>
      </c>
      <c r="E33" s="313">
        <v>14781.064515363612</v>
      </c>
      <c r="F33" s="313">
        <v>14602.511483490995</v>
      </c>
      <c r="G33" s="313">
        <v>14602.511483490995</v>
      </c>
      <c r="H33" s="313">
        <v>14602.511483490995</v>
      </c>
      <c r="I33" s="313">
        <v>13742.251815186512</v>
      </c>
      <c r="J33" s="313">
        <v>13742.251815186512</v>
      </c>
      <c r="K33" s="314">
        <f t="shared" si="4"/>
        <v>116750.1025962096</v>
      </c>
    </row>
    <row r="34" spans="1:35" ht="14.25">
      <c r="A34" s="344" t="s">
        <v>100</v>
      </c>
      <c r="B34" s="338" t="s">
        <v>79</v>
      </c>
      <c r="C34" s="312">
        <f t="shared" si="3"/>
        <v>29579.060329786083</v>
      </c>
      <c r="D34" s="312">
        <f>+'[6]5.2a Repex iron mains Tier 1'!$K$30+'[6]5.2a Repex iron mains Tier 1'!$K$32+'[6]5.2b Repex iron mains Tier 2A'!$K$26+'[6]5.2b Repex iron mains Tier 2A'!$K$28+'[6]5.2c Repex other mains'!$K$81+'[6]5.2c Repex other mains'!$K$83+'[6]5.2d Repex diversions'!$I$37+'[6]5.2d Repex diversions'!$I$39+'[6]5.2d Repex diversions'!$I$41+'[6]5.3 Other repex services'!$F$15+'[6]5.3 Other repex services'!$J$15</f>
        <v>31292</v>
      </c>
      <c r="E34" s="313">
        <v>32205</v>
      </c>
      <c r="F34" s="313">
        <v>31937</v>
      </c>
      <c r="G34" s="313">
        <v>31937</v>
      </c>
      <c r="H34" s="313">
        <v>31938</v>
      </c>
      <c r="I34" s="313">
        <v>30648</v>
      </c>
      <c r="J34" s="313">
        <v>30648</v>
      </c>
      <c r="K34" s="314">
        <f t="shared" si="4"/>
        <v>250184.06032978609</v>
      </c>
    </row>
    <row r="36" spans="1:35">
      <c r="A36" s="8" t="s">
        <v>101</v>
      </c>
      <c r="D36" s="8"/>
      <c r="M36" s="8" t="s">
        <v>48</v>
      </c>
      <c r="P36" s="8"/>
      <c r="Y36" s="8" t="s">
        <v>49</v>
      </c>
      <c r="AB36" s="8"/>
    </row>
    <row r="38" spans="1:35" ht="12.75" customHeight="1">
      <c r="A38" s="10"/>
      <c r="B38" s="293"/>
      <c r="C38" s="483" t="s">
        <v>3</v>
      </c>
      <c r="D38" s="479"/>
      <c r="E38" s="479"/>
      <c r="F38" s="479"/>
      <c r="G38" s="479"/>
      <c r="H38" s="479"/>
      <c r="I38" s="479"/>
      <c r="J38" s="480"/>
      <c r="K38" s="294"/>
      <c r="M38" s="10"/>
      <c r="N38" s="485"/>
      <c r="O38" s="485"/>
      <c r="P38" s="485"/>
      <c r="Q38" s="486" t="s">
        <v>75</v>
      </c>
      <c r="R38" s="490" t="s">
        <v>3</v>
      </c>
      <c r="S38" s="490"/>
      <c r="T38" s="490"/>
      <c r="U38" s="490"/>
      <c r="V38" s="491"/>
      <c r="W38" s="294"/>
      <c r="Y38" s="10"/>
      <c r="Z38" s="485"/>
      <c r="AA38" s="485"/>
      <c r="AB38" s="485"/>
      <c r="AC38" s="486" t="s">
        <v>75</v>
      </c>
      <c r="AD38" s="490" t="s">
        <v>3</v>
      </c>
      <c r="AE38" s="490"/>
      <c r="AF38" s="490"/>
      <c r="AG38" s="490"/>
      <c r="AH38" s="491"/>
      <c r="AI38" s="294"/>
    </row>
    <row r="39" spans="1:35">
      <c r="A39" s="12"/>
      <c r="B39" s="295"/>
      <c r="C39" s="484"/>
      <c r="D39" s="481"/>
      <c r="E39" s="481"/>
      <c r="F39" s="481"/>
      <c r="G39" s="481"/>
      <c r="H39" s="481"/>
      <c r="I39" s="481"/>
      <c r="J39" s="482"/>
      <c r="K39" s="345"/>
      <c r="M39" s="12"/>
      <c r="N39" s="485"/>
      <c r="O39" s="485"/>
      <c r="P39" s="485"/>
      <c r="Q39" s="486"/>
      <c r="R39" s="492"/>
      <c r="S39" s="492"/>
      <c r="T39" s="492"/>
      <c r="U39" s="492"/>
      <c r="V39" s="493"/>
      <c r="W39" s="345"/>
      <c r="Y39" s="12"/>
      <c r="Z39" s="485"/>
      <c r="AA39" s="485"/>
      <c r="AB39" s="485"/>
      <c r="AC39" s="486"/>
      <c r="AD39" s="492"/>
      <c r="AE39" s="492"/>
      <c r="AF39" s="492"/>
      <c r="AG39" s="492"/>
      <c r="AH39" s="493"/>
      <c r="AI39" s="345"/>
    </row>
    <row r="40" spans="1:35" ht="38.25">
      <c r="A40" s="14" t="s">
        <v>76</v>
      </c>
      <c r="B40" s="346" t="s">
        <v>102</v>
      </c>
      <c r="C40" s="298">
        <v>2014</v>
      </c>
      <c r="D40" s="299">
        <v>2015</v>
      </c>
      <c r="E40" s="299">
        <v>2016</v>
      </c>
      <c r="F40" s="300">
        <v>2017</v>
      </c>
      <c r="G40" s="299">
        <v>2018</v>
      </c>
      <c r="H40" s="300">
        <v>2019</v>
      </c>
      <c r="I40" s="299">
        <v>2020</v>
      </c>
      <c r="J40" s="301">
        <v>2021</v>
      </c>
      <c r="K40" s="302" t="s">
        <v>5</v>
      </c>
      <c r="M40" s="14" t="s">
        <v>76</v>
      </c>
      <c r="N40" s="346" t="s">
        <v>102</v>
      </c>
      <c r="O40" s="298">
        <v>2014</v>
      </c>
      <c r="P40" s="299">
        <v>2015</v>
      </c>
      <c r="Q40" s="299">
        <v>2016</v>
      </c>
      <c r="R40" s="300">
        <v>2017</v>
      </c>
      <c r="S40" s="299">
        <v>2018</v>
      </c>
      <c r="T40" s="300">
        <v>2019</v>
      </c>
      <c r="U40" s="299">
        <v>2020</v>
      </c>
      <c r="V40" s="301">
        <v>2021</v>
      </c>
      <c r="W40" s="302" t="s">
        <v>5</v>
      </c>
      <c r="Y40" s="14" t="s">
        <v>76</v>
      </c>
      <c r="Z40" s="346" t="s">
        <v>102</v>
      </c>
      <c r="AA40" s="298">
        <v>2014</v>
      </c>
      <c r="AB40" s="299">
        <v>2015</v>
      </c>
      <c r="AC40" s="299">
        <v>2016</v>
      </c>
      <c r="AD40" s="300">
        <v>2017</v>
      </c>
      <c r="AE40" s="299">
        <v>2018</v>
      </c>
      <c r="AF40" s="300">
        <v>2019</v>
      </c>
      <c r="AG40" s="299">
        <v>2020</v>
      </c>
      <c r="AH40" s="301">
        <v>2021</v>
      </c>
      <c r="AI40" s="302" t="s">
        <v>5</v>
      </c>
    </row>
    <row r="41" spans="1:35">
      <c r="A41" s="303" t="s">
        <v>77</v>
      </c>
      <c r="B41" s="304"/>
      <c r="C41" s="347"/>
      <c r="D41" s="348"/>
      <c r="E41" s="348"/>
      <c r="F41" s="348"/>
      <c r="G41" s="348"/>
      <c r="H41" s="348"/>
      <c r="I41" s="348"/>
      <c r="J41" s="348"/>
      <c r="K41" s="309"/>
      <c r="M41" s="303" t="s">
        <v>77</v>
      </c>
      <c r="N41" s="304"/>
      <c r="O41" s="349"/>
      <c r="P41" s="350"/>
      <c r="Q41" s="349"/>
      <c r="R41" s="350"/>
      <c r="S41" s="350"/>
      <c r="T41" s="350"/>
      <c r="U41" s="350"/>
      <c r="V41" s="350"/>
      <c r="W41" s="351"/>
      <c r="Y41" s="303" t="s">
        <v>77</v>
      </c>
      <c r="Z41" s="304"/>
      <c r="AA41" s="348"/>
      <c r="AB41" s="348"/>
      <c r="AC41" s="348"/>
      <c r="AD41" s="348"/>
      <c r="AE41" s="348"/>
      <c r="AF41" s="348"/>
      <c r="AG41" s="348"/>
      <c r="AH41" s="348"/>
      <c r="AI41" s="309"/>
    </row>
    <row r="42" spans="1:35" ht="14.25">
      <c r="A42" s="310" t="s">
        <v>78</v>
      </c>
      <c r="B42" s="311" t="s">
        <v>79</v>
      </c>
      <c r="C42" s="312">
        <v>9579</v>
      </c>
      <c r="D42" s="312">
        <v>9291.6299999999992</v>
      </c>
      <c r="E42" s="312">
        <v>9012.8810999999987</v>
      </c>
      <c r="F42" s="312">
        <v>8742.494666999999</v>
      </c>
      <c r="G42" s="312">
        <v>8480.2198269899982</v>
      </c>
      <c r="H42" s="312">
        <v>8225.8132321802987</v>
      </c>
      <c r="I42" s="312">
        <v>7979.0388352148893</v>
      </c>
      <c r="J42" s="312">
        <v>7739.6676701584429</v>
      </c>
      <c r="K42" s="314">
        <f>SUM(C42:J42)</f>
        <v>69050.745331543614</v>
      </c>
      <c r="M42" s="310" t="s">
        <v>78</v>
      </c>
      <c r="N42" s="311" t="s">
        <v>79</v>
      </c>
      <c r="O42" s="352">
        <f>C13-C42</f>
        <v>0</v>
      </c>
      <c r="P42" s="353">
        <f>D13-D42</f>
        <v>-825.6299999999992</v>
      </c>
      <c r="Q42" s="352">
        <f>E13-E42</f>
        <v>787.1189000000013</v>
      </c>
      <c r="R42" s="353">
        <f t="shared" ref="R42:W42" si="5">F13-F42</f>
        <v>763.50533300000097</v>
      </c>
      <c r="S42" s="353">
        <f t="shared" si="5"/>
        <v>740.60017301000153</v>
      </c>
      <c r="T42" s="353">
        <f t="shared" si="5"/>
        <v>718.38216781970004</v>
      </c>
      <c r="U42" s="353">
        <f t="shared" si="5"/>
        <v>696.83070278510968</v>
      </c>
      <c r="V42" s="353">
        <f t="shared" si="5"/>
        <v>675.92578170155593</v>
      </c>
      <c r="W42" s="352">
        <f t="shared" si="5"/>
        <v>3556.7330583163857</v>
      </c>
      <c r="Y42" s="310" t="s">
        <v>78</v>
      </c>
      <c r="Z42" s="311" t="s">
        <v>79</v>
      </c>
      <c r="AA42" s="354">
        <f>(C13-C42)/C42</f>
        <v>0</v>
      </c>
      <c r="AB42" s="354">
        <f>(D13-D42)/D42</f>
        <v>-8.8857391006744696E-2</v>
      </c>
      <c r="AC42" s="354">
        <f>(E13-E42)/E42</f>
        <v>8.733266213841448E-2</v>
      </c>
      <c r="AD42" s="354">
        <f t="shared" ref="AD42:AI42" si="6">(F13-F42)/F42</f>
        <v>8.7332662138414438E-2</v>
      </c>
      <c r="AE42" s="354">
        <f t="shared" si="6"/>
        <v>8.7332662138414521E-2</v>
      </c>
      <c r="AF42" s="354">
        <f t="shared" si="6"/>
        <v>8.7332662138414341E-2</v>
      </c>
      <c r="AG42" s="354">
        <f t="shared" si="6"/>
        <v>8.7332662138414424E-2</v>
      </c>
      <c r="AH42" s="354">
        <f t="shared" si="6"/>
        <v>8.7332662138414355E-2</v>
      </c>
      <c r="AI42" s="355">
        <f t="shared" si="6"/>
        <v>5.1508974178901532E-2</v>
      </c>
    </row>
    <row r="43" spans="1:35" ht="14.25">
      <c r="A43" s="310" t="s">
        <v>80</v>
      </c>
      <c r="B43" s="311" t="s">
        <v>79</v>
      </c>
      <c r="C43" s="312">
        <v>12130</v>
      </c>
      <c r="D43" s="312">
        <v>11766.1</v>
      </c>
      <c r="E43" s="312">
        <v>11413.117</v>
      </c>
      <c r="F43" s="312">
        <v>11070.72349</v>
      </c>
      <c r="G43" s="312">
        <v>10738.601785299999</v>
      </c>
      <c r="H43" s="312">
        <v>10416.443731740999</v>
      </c>
      <c r="I43" s="312">
        <v>10103.950419788769</v>
      </c>
      <c r="J43" s="312">
        <v>9800.8319071951064</v>
      </c>
      <c r="K43" s="314">
        <f>SUM(C43:J43)</f>
        <v>87439.768334024877</v>
      </c>
      <c r="M43" s="310" t="s">
        <v>80</v>
      </c>
      <c r="N43" s="311" t="s">
        <v>79</v>
      </c>
      <c r="O43" s="352">
        <f>C14-C43</f>
        <v>0</v>
      </c>
      <c r="P43" s="353">
        <f>D14-D43</f>
        <v>-2920.1000000000004</v>
      </c>
      <c r="Q43" s="352">
        <f t="shared" ref="Q43:W44" si="7">E14-E43</f>
        <v>1286.8829999999998</v>
      </c>
      <c r="R43" s="353">
        <f t="shared" si="7"/>
        <v>1248.2765099999997</v>
      </c>
      <c r="S43" s="353">
        <f t="shared" si="7"/>
        <v>1210.8282147000009</v>
      </c>
      <c r="T43" s="353">
        <f t="shared" si="7"/>
        <v>1174.5033682590001</v>
      </c>
      <c r="U43" s="353">
        <f t="shared" si="7"/>
        <v>1139.2682672112296</v>
      </c>
      <c r="V43" s="353">
        <f t="shared" si="7"/>
        <v>1105.0902191948917</v>
      </c>
      <c r="W43" s="352">
        <f t="shared" si="7"/>
        <v>4244.7495793651178</v>
      </c>
      <c r="Y43" s="310" t="s">
        <v>80</v>
      </c>
      <c r="Z43" s="311" t="s">
        <v>79</v>
      </c>
      <c r="AA43" s="354">
        <f>(C14-C43)/C43</f>
        <v>0</v>
      </c>
      <c r="AB43" s="354">
        <f>(D14-D43)/D43</f>
        <v>-0.24817909077774286</v>
      </c>
      <c r="AC43" s="354">
        <f t="shared" ref="AC43:AI44" si="8">(E14-E43)/E43</f>
        <v>0.11275473650186885</v>
      </c>
      <c r="AD43" s="354">
        <f t="shared" si="8"/>
        <v>0.11275473650186883</v>
      </c>
      <c r="AE43" s="354">
        <f t="shared" si="8"/>
        <v>0.11275473650186894</v>
      </c>
      <c r="AF43" s="354">
        <f t="shared" si="8"/>
        <v>0.11275473650186887</v>
      </c>
      <c r="AG43" s="354">
        <f t="shared" si="8"/>
        <v>0.11275473650186883</v>
      </c>
      <c r="AH43" s="354">
        <f t="shared" si="8"/>
        <v>0.11275473650186872</v>
      </c>
      <c r="AI43" s="355">
        <f t="shared" si="8"/>
        <v>4.8544840182443455E-2</v>
      </c>
    </row>
    <row r="44" spans="1:35" ht="14.25">
      <c r="A44" s="310" t="s">
        <v>81</v>
      </c>
      <c r="B44" s="311" t="s">
        <v>79</v>
      </c>
      <c r="C44" s="312">
        <v>1</v>
      </c>
      <c r="D44" s="312">
        <v>2</v>
      </c>
      <c r="E44" s="312">
        <v>2</v>
      </c>
      <c r="F44" s="312">
        <v>3</v>
      </c>
      <c r="G44" s="312">
        <v>3</v>
      </c>
      <c r="H44" s="312">
        <v>3</v>
      </c>
      <c r="I44" s="312">
        <v>4</v>
      </c>
      <c r="J44" s="312">
        <v>5</v>
      </c>
      <c r="K44" s="314">
        <f>SUM(C44:J44)</f>
        <v>23</v>
      </c>
      <c r="M44" s="310" t="s">
        <v>81</v>
      </c>
      <c r="N44" s="311" t="s">
        <v>79</v>
      </c>
      <c r="O44" s="352">
        <f>C15-C44</f>
        <v>0</v>
      </c>
      <c r="P44" s="353">
        <f>D15-D44</f>
        <v>0</v>
      </c>
      <c r="Q44" s="352">
        <f t="shared" si="7"/>
        <v>0</v>
      </c>
      <c r="R44" s="353">
        <f t="shared" si="7"/>
        <v>0</v>
      </c>
      <c r="S44" s="353">
        <f t="shared" si="7"/>
        <v>0</v>
      </c>
      <c r="T44" s="353">
        <f t="shared" si="7"/>
        <v>0</v>
      </c>
      <c r="U44" s="353">
        <f t="shared" si="7"/>
        <v>0</v>
      </c>
      <c r="V44" s="353">
        <f t="shared" si="7"/>
        <v>0</v>
      </c>
      <c r="W44" s="352">
        <f t="shared" si="7"/>
        <v>0</v>
      </c>
      <c r="Y44" s="310" t="s">
        <v>81</v>
      </c>
      <c r="Z44" s="311" t="s">
        <v>79</v>
      </c>
      <c r="AA44" s="354">
        <f>(C15-C44)/C44</f>
        <v>0</v>
      </c>
      <c r="AB44" s="354">
        <f>(D15-D44)/D44</f>
        <v>0</v>
      </c>
      <c r="AC44" s="354">
        <f t="shared" si="8"/>
        <v>0</v>
      </c>
      <c r="AD44" s="354">
        <f t="shared" si="8"/>
        <v>0</v>
      </c>
      <c r="AE44" s="354">
        <f t="shared" si="8"/>
        <v>0</v>
      </c>
      <c r="AF44" s="354">
        <f t="shared" si="8"/>
        <v>0</v>
      </c>
      <c r="AG44" s="354">
        <f t="shared" si="8"/>
        <v>0</v>
      </c>
      <c r="AH44" s="354">
        <f t="shared" si="8"/>
        <v>0</v>
      </c>
      <c r="AI44" s="355">
        <f t="shared" si="8"/>
        <v>0</v>
      </c>
    </row>
    <row r="45" spans="1:35">
      <c r="A45" s="315"/>
      <c r="B45" s="316"/>
      <c r="C45" s="316">
        <v>0</v>
      </c>
      <c r="D45" s="316">
        <v>0</v>
      </c>
      <c r="E45" s="316">
        <v>0</v>
      </c>
      <c r="F45" s="316">
        <v>0</v>
      </c>
      <c r="G45" s="316">
        <v>0</v>
      </c>
      <c r="H45" s="316">
        <v>0</v>
      </c>
      <c r="I45" s="316">
        <v>0</v>
      </c>
      <c r="J45" s="316">
        <v>0</v>
      </c>
      <c r="K45" s="356"/>
      <c r="M45" s="315"/>
      <c r="N45" s="316"/>
      <c r="O45" s="357"/>
      <c r="P45" s="358"/>
      <c r="Q45" s="357"/>
      <c r="R45" s="358"/>
      <c r="S45" s="358"/>
      <c r="T45" s="358"/>
      <c r="U45" s="358"/>
      <c r="V45" s="358"/>
      <c r="W45" s="357"/>
      <c r="Y45" s="315"/>
      <c r="Z45" s="316"/>
      <c r="AA45" s="359"/>
      <c r="AB45" s="359"/>
      <c r="AC45" s="359"/>
      <c r="AD45" s="359"/>
      <c r="AE45" s="359"/>
      <c r="AF45" s="359"/>
      <c r="AG45" s="359"/>
      <c r="AH45" s="359"/>
      <c r="AI45" s="360"/>
    </row>
    <row r="46" spans="1:35">
      <c r="A46" s="322" t="s">
        <v>82</v>
      </c>
      <c r="B46" s="323"/>
      <c r="C46" s="323">
        <v>0</v>
      </c>
      <c r="D46" s="323">
        <v>0</v>
      </c>
      <c r="E46" s="323">
        <v>0</v>
      </c>
      <c r="F46" s="323">
        <v>0</v>
      </c>
      <c r="G46" s="323">
        <v>0</v>
      </c>
      <c r="H46" s="323">
        <v>0</v>
      </c>
      <c r="I46" s="323">
        <v>0</v>
      </c>
      <c r="J46" s="323">
        <v>0</v>
      </c>
      <c r="K46" s="361"/>
      <c r="M46" s="322" t="s">
        <v>82</v>
      </c>
      <c r="N46" s="323"/>
      <c r="O46" s="362"/>
      <c r="P46" s="363"/>
      <c r="Q46" s="362"/>
      <c r="R46" s="363"/>
      <c r="S46" s="363"/>
      <c r="T46" s="363"/>
      <c r="U46" s="363"/>
      <c r="V46" s="363"/>
      <c r="W46" s="362"/>
      <c r="Y46" s="322" t="s">
        <v>82</v>
      </c>
      <c r="Z46" s="323"/>
      <c r="AA46" s="364"/>
      <c r="AB46" s="364"/>
      <c r="AC46" s="364"/>
      <c r="AD46" s="364"/>
      <c r="AE46" s="364"/>
      <c r="AF46" s="364"/>
      <c r="AG46" s="364"/>
      <c r="AH46" s="364"/>
      <c r="AI46" s="365"/>
    </row>
    <row r="47" spans="1:35">
      <c r="A47" s="310" t="s">
        <v>83</v>
      </c>
      <c r="B47" s="329" t="s">
        <v>84</v>
      </c>
      <c r="C47" s="330">
        <v>8.5635000000000012</v>
      </c>
      <c r="D47" s="330">
        <v>5.8966392562741916</v>
      </c>
      <c r="E47" s="330">
        <v>10.315296893086398</v>
      </c>
      <c r="F47" s="330">
        <v>13.070983656740403</v>
      </c>
      <c r="G47" s="330">
        <v>13.062900178906917</v>
      </c>
      <c r="H47" s="330">
        <v>13.045334184361637</v>
      </c>
      <c r="I47" s="330">
        <v>13.027791811229687</v>
      </c>
      <c r="J47" s="330">
        <v>13.010273027746781</v>
      </c>
      <c r="K47" s="332">
        <f t="shared" ref="K47:K54" si="9">SUM(C47:J47)</f>
        <v>89.992719008346015</v>
      </c>
      <c r="M47" s="310" t="s">
        <v>83</v>
      </c>
      <c r="N47" s="329" t="s">
        <v>84</v>
      </c>
      <c r="O47" s="366">
        <f t="shared" ref="O47:W54" si="10">C18-C47</f>
        <v>0</v>
      </c>
      <c r="P47" s="367">
        <f t="shared" si="10"/>
        <v>-0.12813925627419209</v>
      </c>
      <c r="Q47" s="366">
        <f t="shared" si="10"/>
        <v>-4.1509830573158704</v>
      </c>
      <c r="R47" s="367">
        <f t="shared" si="10"/>
        <v>-3.9867316882364676</v>
      </c>
      <c r="S47" s="367">
        <f t="shared" si="10"/>
        <v>0.16893044680467106</v>
      </c>
      <c r="T47" s="367">
        <f t="shared" si="10"/>
        <v>-0.14429932429283987</v>
      </c>
      <c r="U47" s="367">
        <f t="shared" si="10"/>
        <v>-0.12675695116088903</v>
      </c>
      <c r="V47" s="367">
        <f t="shared" si="10"/>
        <v>-0.44003393332077323</v>
      </c>
      <c r="W47" s="368">
        <f t="shared" si="10"/>
        <v>-8.8080137637963531</v>
      </c>
      <c r="Y47" s="310" t="s">
        <v>83</v>
      </c>
      <c r="Z47" s="329" t="s">
        <v>84</v>
      </c>
      <c r="AA47" s="369">
        <f t="shared" ref="AA47:AI54" si="11">(C18-C47)/C47</f>
        <v>0</v>
      </c>
      <c r="AB47" s="369">
        <f t="shared" si="11"/>
        <v>-2.1730896313158089E-2</v>
      </c>
      <c r="AC47" s="369">
        <f t="shared" si="11"/>
        <v>-0.40241042990221404</v>
      </c>
      <c r="AD47" s="369">
        <f t="shared" si="11"/>
        <v>-0.30500624841502288</v>
      </c>
      <c r="AE47" s="369">
        <f t="shared" si="11"/>
        <v>1.2932078213186414E-2</v>
      </c>
      <c r="AF47" s="369">
        <f t="shared" si="11"/>
        <v>-1.1061374300845559E-2</v>
      </c>
      <c r="AG47" s="369">
        <f t="shared" si="11"/>
        <v>-9.7297341711914034E-3</v>
      </c>
      <c r="AH47" s="369">
        <f t="shared" si="11"/>
        <v>-3.382203681523982E-2</v>
      </c>
      <c r="AI47" s="370">
        <f t="shared" si="11"/>
        <v>-9.7874737654937274E-2</v>
      </c>
    </row>
    <row r="48" spans="1:35" ht="14.25">
      <c r="A48" s="310" t="s">
        <v>85</v>
      </c>
      <c r="B48" s="311" t="s">
        <v>79</v>
      </c>
      <c r="C48" s="333">
        <v>4</v>
      </c>
      <c r="D48" s="333">
        <v>2</v>
      </c>
      <c r="E48" s="333">
        <v>3</v>
      </c>
      <c r="F48" s="333">
        <v>4</v>
      </c>
      <c r="G48" s="333">
        <v>4</v>
      </c>
      <c r="H48" s="333">
        <v>4</v>
      </c>
      <c r="I48" s="333">
        <v>4</v>
      </c>
      <c r="J48" s="333">
        <v>4</v>
      </c>
      <c r="K48" s="332">
        <f t="shared" si="9"/>
        <v>29</v>
      </c>
      <c r="M48" s="310" t="s">
        <v>85</v>
      </c>
      <c r="N48" s="311" t="s">
        <v>79</v>
      </c>
      <c r="O48" s="352">
        <f t="shared" si="10"/>
        <v>0</v>
      </c>
      <c r="P48" s="353">
        <f t="shared" si="10"/>
        <v>1</v>
      </c>
      <c r="Q48" s="352">
        <f t="shared" si="10"/>
        <v>0</v>
      </c>
      <c r="R48" s="353">
        <f t="shared" si="10"/>
        <v>0</v>
      </c>
      <c r="S48" s="353">
        <f t="shared" si="10"/>
        <v>0</v>
      </c>
      <c r="T48" s="353">
        <f t="shared" si="10"/>
        <v>0</v>
      </c>
      <c r="U48" s="353">
        <f t="shared" si="10"/>
        <v>0</v>
      </c>
      <c r="V48" s="353">
        <f t="shared" si="10"/>
        <v>0</v>
      </c>
      <c r="W48" s="368">
        <f t="shared" si="10"/>
        <v>1</v>
      </c>
      <c r="Y48" s="310" t="s">
        <v>85</v>
      </c>
      <c r="Z48" s="311" t="s">
        <v>79</v>
      </c>
      <c r="AA48" s="354">
        <f t="shared" si="11"/>
        <v>0</v>
      </c>
      <c r="AB48" s="354">
        <f t="shared" si="11"/>
        <v>0.5</v>
      </c>
      <c r="AC48" s="354">
        <f t="shared" si="11"/>
        <v>0</v>
      </c>
      <c r="AD48" s="354">
        <f t="shared" si="11"/>
        <v>0</v>
      </c>
      <c r="AE48" s="354">
        <f t="shared" si="11"/>
        <v>0</v>
      </c>
      <c r="AF48" s="354">
        <f t="shared" si="11"/>
        <v>0</v>
      </c>
      <c r="AG48" s="354">
        <f t="shared" si="11"/>
        <v>0</v>
      </c>
      <c r="AH48" s="354">
        <f t="shared" si="11"/>
        <v>0</v>
      </c>
      <c r="AI48" s="370">
        <f t="shared" si="11"/>
        <v>3.4482758620689655E-2</v>
      </c>
    </row>
    <row r="49" spans="1:35" ht="15" thickBot="1">
      <c r="A49" s="310" t="s">
        <v>86</v>
      </c>
      <c r="B49" s="334" t="s">
        <v>79</v>
      </c>
      <c r="C49" s="335">
        <v>6310</v>
      </c>
      <c r="D49" s="335">
        <v>6803.3</v>
      </c>
      <c r="E49" s="335">
        <v>7238.5515605904793</v>
      </c>
      <c r="F49" s="335">
        <v>7586.8268304497578</v>
      </c>
      <c r="G49" s="335">
        <v>7849.1629800968121</v>
      </c>
      <c r="H49" s="335">
        <v>7818.7962137057766</v>
      </c>
      <c r="I49" s="335">
        <v>8000.4479829213451</v>
      </c>
      <c r="J49" s="335">
        <v>8144.6539976639615</v>
      </c>
      <c r="K49" s="337">
        <f t="shared" si="9"/>
        <v>59751.739565428135</v>
      </c>
      <c r="M49" s="310" t="s">
        <v>86</v>
      </c>
      <c r="N49" s="334" t="s">
        <v>79</v>
      </c>
      <c r="O49" s="371">
        <f t="shared" si="10"/>
        <v>0</v>
      </c>
      <c r="P49" s="372">
        <f t="shared" si="10"/>
        <v>62.699999999999818</v>
      </c>
      <c r="Q49" s="371">
        <f t="shared" si="10"/>
        <v>100.24843940952087</v>
      </c>
      <c r="R49" s="372">
        <f t="shared" si="10"/>
        <v>-606.28683044975787</v>
      </c>
      <c r="S49" s="372">
        <f t="shared" si="10"/>
        <v>-1080.5109800968121</v>
      </c>
      <c r="T49" s="372">
        <f t="shared" si="10"/>
        <v>-1193.6908637057768</v>
      </c>
      <c r="U49" s="372">
        <f t="shared" si="10"/>
        <v>-1384.5676529213451</v>
      </c>
      <c r="V49" s="372">
        <f t="shared" si="10"/>
        <v>-1508.6859242889614</v>
      </c>
      <c r="W49" s="371">
        <f t="shared" si="10"/>
        <v>-5610.7938120531398</v>
      </c>
      <c r="Y49" s="310" t="s">
        <v>86</v>
      </c>
      <c r="Z49" s="334" t="s">
        <v>79</v>
      </c>
      <c r="AA49" s="373">
        <f t="shared" si="11"/>
        <v>0</v>
      </c>
      <c r="AB49" s="373">
        <f t="shared" si="11"/>
        <v>9.2161157085531749E-3</v>
      </c>
      <c r="AC49" s="373">
        <f t="shared" si="11"/>
        <v>1.3849240220282851E-2</v>
      </c>
      <c r="AD49" s="373">
        <f t="shared" si="11"/>
        <v>-7.991309726701859E-2</v>
      </c>
      <c r="AE49" s="373">
        <f t="shared" si="11"/>
        <v>-0.13765938901213706</v>
      </c>
      <c r="AF49" s="373">
        <f t="shared" si="11"/>
        <v>-0.1526693919472315</v>
      </c>
      <c r="AG49" s="373">
        <f t="shared" si="11"/>
        <v>-0.17306126555375384</v>
      </c>
      <c r="AH49" s="373">
        <f t="shared" si="11"/>
        <v>-0.18523634333903941</v>
      </c>
      <c r="AI49" s="374">
        <f t="shared" si="11"/>
        <v>-9.3901765084334024E-2</v>
      </c>
    </row>
    <row r="50" spans="1:35" ht="15" thickTop="1">
      <c r="A50" s="310" t="s">
        <v>87</v>
      </c>
      <c r="B50" s="338" t="s">
        <v>79</v>
      </c>
      <c r="C50" s="339">
        <v>1660</v>
      </c>
      <c r="D50" s="339">
        <v>1743</v>
      </c>
      <c r="E50" s="339">
        <v>1786.6295356743481</v>
      </c>
      <c r="F50" s="339">
        <v>1866.7183324031475</v>
      </c>
      <c r="G50" s="339">
        <v>1951.3428968054232</v>
      </c>
      <c r="H50" s="339">
        <v>2038.3213592599279</v>
      </c>
      <c r="I50" s="339">
        <v>2129.176768684305</v>
      </c>
      <c r="J50" s="339">
        <v>2224.0819347303104</v>
      </c>
      <c r="K50" s="328">
        <f t="shared" si="9"/>
        <v>15399.270827557462</v>
      </c>
      <c r="M50" s="310" t="s">
        <v>87</v>
      </c>
      <c r="N50" s="338" t="s">
        <v>79</v>
      </c>
      <c r="O50" s="375">
        <f t="shared" si="10"/>
        <v>0</v>
      </c>
      <c r="P50" s="376">
        <f t="shared" si="10"/>
        <v>514</v>
      </c>
      <c r="Q50" s="375">
        <f t="shared" si="10"/>
        <v>473.37046432565194</v>
      </c>
      <c r="R50" s="376">
        <f t="shared" si="10"/>
        <v>418.28166759685246</v>
      </c>
      <c r="S50" s="376">
        <f t="shared" si="10"/>
        <v>313.65710319457685</v>
      </c>
      <c r="T50" s="376">
        <f t="shared" si="10"/>
        <v>236.67864074007207</v>
      </c>
      <c r="U50" s="376">
        <f t="shared" si="10"/>
        <v>160.82323131569501</v>
      </c>
      <c r="V50" s="376">
        <f t="shared" si="10"/>
        <v>80.918065269689578</v>
      </c>
      <c r="W50" s="375">
        <f t="shared" si="10"/>
        <v>2197.7291724425377</v>
      </c>
      <c r="Y50" s="310" t="s">
        <v>87</v>
      </c>
      <c r="Z50" s="338" t="s">
        <v>79</v>
      </c>
      <c r="AA50" s="377">
        <f t="shared" si="11"/>
        <v>0</v>
      </c>
      <c r="AB50" s="377">
        <f t="shared" si="11"/>
        <v>0.29489386115892141</v>
      </c>
      <c r="AC50" s="377">
        <f t="shared" si="11"/>
        <v>0.26495166170360118</v>
      </c>
      <c r="AD50" s="377">
        <f t="shared" si="11"/>
        <v>0.22407326286787538</v>
      </c>
      <c r="AE50" s="377">
        <f t="shared" si="11"/>
        <v>0.16073910111240328</v>
      </c>
      <c r="AF50" s="377">
        <f t="shared" si="11"/>
        <v>0.11611448786760747</v>
      </c>
      <c r="AG50" s="377">
        <f t="shared" si="11"/>
        <v>7.5533057508923265E-2</v>
      </c>
      <c r="AH50" s="377">
        <f t="shared" si="11"/>
        <v>3.6382681773592843E-2</v>
      </c>
      <c r="AI50" s="378">
        <f t="shared" si="11"/>
        <v>0.142716443983155</v>
      </c>
    </row>
    <row r="51" spans="1:35" ht="14.25">
      <c r="A51" s="310" t="s">
        <v>88</v>
      </c>
      <c r="B51" s="311" t="s">
        <v>79</v>
      </c>
      <c r="C51" s="312">
        <v>3051</v>
      </c>
      <c r="D51" s="312">
        <v>3203.55</v>
      </c>
      <c r="E51" s="312">
        <v>3283.7389839412267</v>
      </c>
      <c r="F51" s="312">
        <v>3430.938332627713</v>
      </c>
      <c r="G51" s="312">
        <v>3586.4742037068349</v>
      </c>
      <c r="H51" s="312">
        <v>3746.3364259650839</v>
      </c>
      <c r="I51" s="312">
        <v>3913.324289913141</v>
      </c>
      <c r="J51" s="312">
        <v>4087.7554113627571</v>
      </c>
      <c r="K51" s="314">
        <f t="shared" si="9"/>
        <v>28303.117647516756</v>
      </c>
      <c r="M51" s="310" t="s">
        <v>88</v>
      </c>
      <c r="N51" s="311" t="s">
        <v>79</v>
      </c>
      <c r="O51" s="352">
        <f t="shared" si="10"/>
        <v>0</v>
      </c>
      <c r="P51" s="353">
        <f t="shared" si="10"/>
        <v>-699.55000000000018</v>
      </c>
      <c r="Q51" s="352">
        <f t="shared" si="10"/>
        <v>-983.73898394122671</v>
      </c>
      <c r="R51" s="353">
        <f t="shared" si="10"/>
        <v>-1180.938332627713</v>
      </c>
      <c r="S51" s="353">
        <f t="shared" si="10"/>
        <v>-1336.4742037068349</v>
      </c>
      <c r="T51" s="353">
        <f t="shared" si="10"/>
        <v>-1546.3364259650839</v>
      </c>
      <c r="U51" s="353">
        <f t="shared" si="10"/>
        <v>-1743.324289913141</v>
      </c>
      <c r="V51" s="353">
        <f t="shared" si="10"/>
        <v>-1937.7554113627571</v>
      </c>
      <c r="W51" s="352">
        <f t="shared" si="10"/>
        <v>-9428.1176475167558</v>
      </c>
      <c r="Y51" s="310" t="s">
        <v>88</v>
      </c>
      <c r="Z51" s="311" t="s">
        <v>79</v>
      </c>
      <c r="AA51" s="354">
        <f t="shared" si="11"/>
        <v>0</v>
      </c>
      <c r="AB51" s="354">
        <f t="shared" si="11"/>
        <v>-0.21836712397184377</v>
      </c>
      <c r="AC51" s="354">
        <f t="shared" si="11"/>
        <v>-0.29957892169630312</v>
      </c>
      <c r="AD51" s="354">
        <f t="shared" si="11"/>
        <v>-0.3442027276903129</v>
      </c>
      <c r="AE51" s="354">
        <f t="shared" si="11"/>
        <v>-0.37264291552006956</v>
      </c>
      <c r="AF51" s="354">
        <f t="shared" si="11"/>
        <v>-0.41275962704463637</v>
      </c>
      <c r="AG51" s="354">
        <f t="shared" si="11"/>
        <v>-0.44548423814675359</v>
      </c>
      <c r="AH51" s="354">
        <f t="shared" si="11"/>
        <v>-0.4740389813872834</v>
      </c>
      <c r="AI51" s="355">
        <f t="shared" si="11"/>
        <v>-0.33311233641937515</v>
      </c>
    </row>
    <row r="52" spans="1:35" ht="14.25">
      <c r="A52" s="310" t="s">
        <v>89</v>
      </c>
      <c r="B52" s="311" t="s">
        <v>79</v>
      </c>
      <c r="C52" s="312">
        <v>435</v>
      </c>
      <c r="D52" s="312">
        <v>456.75</v>
      </c>
      <c r="E52" s="312">
        <v>468.18304097490443</v>
      </c>
      <c r="F52" s="312">
        <v>489.17016541889711</v>
      </c>
      <c r="G52" s="312">
        <v>511.34587958455364</v>
      </c>
      <c r="H52" s="312">
        <v>534.13842848076422</v>
      </c>
      <c r="I52" s="312">
        <v>557.94692432389922</v>
      </c>
      <c r="J52" s="312">
        <v>582.81665157089469</v>
      </c>
      <c r="K52" s="314">
        <f t="shared" si="9"/>
        <v>4035.3510903539136</v>
      </c>
      <c r="M52" s="310" t="s">
        <v>89</v>
      </c>
      <c r="N52" s="311" t="s">
        <v>79</v>
      </c>
      <c r="O52" s="352">
        <f t="shared" si="10"/>
        <v>0</v>
      </c>
      <c r="P52" s="353">
        <f t="shared" si="10"/>
        <v>-58.75</v>
      </c>
      <c r="Q52" s="352">
        <f t="shared" si="10"/>
        <v>-68.183040974904429</v>
      </c>
      <c r="R52" s="353">
        <f t="shared" si="10"/>
        <v>-100.17016541889711</v>
      </c>
      <c r="S52" s="353">
        <f t="shared" si="10"/>
        <v>-116.34587958455364</v>
      </c>
      <c r="T52" s="353">
        <f t="shared" si="10"/>
        <v>-149.13842848076422</v>
      </c>
      <c r="U52" s="353">
        <f t="shared" si="10"/>
        <v>-177.94692432389922</v>
      </c>
      <c r="V52" s="353">
        <f t="shared" si="10"/>
        <v>-192.81665157089469</v>
      </c>
      <c r="W52" s="352">
        <f t="shared" si="10"/>
        <v>-863.35109035391361</v>
      </c>
      <c r="Y52" s="310" t="s">
        <v>89</v>
      </c>
      <c r="Z52" s="311" t="s">
        <v>79</v>
      </c>
      <c r="AA52" s="354">
        <f t="shared" si="11"/>
        <v>0</v>
      </c>
      <c r="AB52" s="354">
        <f t="shared" si="11"/>
        <v>-0.12862616310892172</v>
      </c>
      <c r="AC52" s="354">
        <f t="shared" si="11"/>
        <v>-0.14563329938847397</v>
      </c>
      <c r="AD52" s="354">
        <f t="shared" si="11"/>
        <v>-0.20477570485746441</v>
      </c>
      <c r="AE52" s="354">
        <f t="shared" si="11"/>
        <v>-0.22752873197898774</v>
      </c>
      <c r="AF52" s="354">
        <f t="shared" si="11"/>
        <v>-0.27921306636737353</v>
      </c>
      <c r="AG52" s="354">
        <f t="shared" si="11"/>
        <v>-0.31893163411471287</v>
      </c>
      <c r="AH52" s="354">
        <f t="shared" si="11"/>
        <v>-0.33083586587855096</v>
      </c>
      <c r="AI52" s="355">
        <f t="shared" si="11"/>
        <v>-0.21394695802743519</v>
      </c>
    </row>
    <row r="53" spans="1:35" ht="14.25">
      <c r="A53" s="310" t="s">
        <v>90</v>
      </c>
      <c r="B53" s="311" t="s">
        <v>79</v>
      </c>
      <c r="C53" s="312">
        <v>1164</v>
      </c>
      <c r="D53" s="312">
        <v>1400</v>
      </c>
      <c r="E53" s="312">
        <v>1700</v>
      </c>
      <c r="F53" s="312">
        <v>1800</v>
      </c>
      <c r="G53" s="312">
        <v>1800</v>
      </c>
      <c r="H53" s="312">
        <v>1500</v>
      </c>
      <c r="I53" s="312">
        <v>1400</v>
      </c>
      <c r="J53" s="312">
        <v>1250</v>
      </c>
      <c r="K53" s="314">
        <f t="shared" si="9"/>
        <v>12014</v>
      </c>
      <c r="M53" s="310" t="s">
        <v>90</v>
      </c>
      <c r="N53" s="311" t="s">
        <v>79</v>
      </c>
      <c r="O53" s="352">
        <f t="shared" si="10"/>
        <v>0</v>
      </c>
      <c r="P53" s="353">
        <f t="shared" si="10"/>
        <v>307</v>
      </c>
      <c r="Q53" s="352">
        <f t="shared" si="10"/>
        <v>682</v>
      </c>
      <c r="R53" s="353">
        <f t="shared" si="10"/>
        <v>256.53999999999996</v>
      </c>
      <c r="S53" s="353">
        <f t="shared" si="10"/>
        <v>58.652000000000044</v>
      </c>
      <c r="T53" s="353">
        <f t="shared" si="10"/>
        <v>265.10535000000004</v>
      </c>
      <c r="U53" s="353">
        <f t="shared" si="10"/>
        <v>375.88032999999996</v>
      </c>
      <c r="V53" s="353">
        <f t="shared" si="10"/>
        <v>540.96807337500013</v>
      </c>
      <c r="W53" s="352">
        <f t="shared" si="10"/>
        <v>2486.1457533749999</v>
      </c>
      <c r="Y53" s="310" t="s">
        <v>90</v>
      </c>
      <c r="Z53" s="311" t="s">
        <v>79</v>
      </c>
      <c r="AA53" s="354">
        <f t="shared" si="11"/>
        <v>0</v>
      </c>
      <c r="AB53" s="354">
        <f t="shared" si="11"/>
        <v>0.21928571428571428</v>
      </c>
      <c r="AC53" s="354">
        <f t="shared" si="11"/>
        <v>0.4011764705882353</v>
      </c>
      <c r="AD53" s="354">
        <f t="shared" si="11"/>
        <v>0.14252222222222219</v>
      </c>
      <c r="AE53" s="354">
        <f t="shared" si="11"/>
        <v>3.2584444444444471E-2</v>
      </c>
      <c r="AF53" s="354">
        <f t="shared" si="11"/>
        <v>0.17673690000000003</v>
      </c>
      <c r="AG53" s="354">
        <f t="shared" si="11"/>
        <v>0.26848594999999997</v>
      </c>
      <c r="AH53" s="354">
        <f t="shared" si="11"/>
        <v>0.43277445870000009</v>
      </c>
      <c r="AI53" s="355">
        <f t="shared" si="11"/>
        <v>0.20693738583111371</v>
      </c>
    </row>
    <row r="54" spans="1:35" ht="14.25">
      <c r="A54" s="310" t="s">
        <v>91</v>
      </c>
      <c r="B54" s="311" t="s">
        <v>92</v>
      </c>
      <c r="C54" s="333">
        <v>464</v>
      </c>
      <c r="D54" s="333">
        <v>313.53384493179664</v>
      </c>
      <c r="E54" s="333">
        <v>437.78983674430089</v>
      </c>
      <c r="F54" s="333">
        <v>445.96661294376025</v>
      </c>
      <c r="G54" s="333">
        <v>454.5163748492991</v>
      </c>
      <c r="H54" s="333">
        <v>462.89339710368029</v>
      </c>
      <c r="I54" s="333">
        <v>471.42481313952578</v>
      </c>
      <c r="J54" s="333">
        <v>480.11346853119716</v>
      </c>
      <c r="K54" s="314">
        <f t="shared" si="9"/>
        <v>3530.2383482435603</v>
      </c>
      <c r="M54" s="310" t="s">
        <v>91</v>
      </c>
      <c r="N54" s="311" t="s">
        <v>92</v>
      </c>
      <c r="O54" s="352">
        <f t="shared" si="10"/>
        <v>0</v>
      </c>
      <c r="P54" s="353">
        <f t="shared" si="10"/>
        <v>-304.53384493179664</v>
      </c>
      <c r="Q54" s="352">
        <f t="shared" si="10"/>
        <v>-402.78983674430089</v>
      </c>
      <c r="R54" s="353">
        <f t="shared" si="10"/>
        <v>-260.96661294376025</v>
      </c>
      <c r="S54" s="353">
        <f t="shared" si="10"/>
        <v>-279.5163748492991</v>
      </c>
      <c r="T54" s="353">
        <f t="shared" si="10"/>
        <v>-287.89339710368029</v>
      </c>
      <c r="U54" s="353">
        <f t="shared" si="10"/>
        <v>-296.42481313952578</v>
      </c>
      <c r="V54" s="353">
        <f t="shared" si="10"/>
        <v>-305.11346853119716</v>
      </c>
      <c r="W54" s="352">
        <f t="shared" si="10"/>
        <v>-2137.2383482435603</v>
      </c>
      <c r="Y54" s="310" t="s">
        <v>91</v>
      </c>
      <c r="Z54" s="311" t="s">
        <v>92</v>
      </c>
      <c r="AA54" s="354">
        <f t="shared" si="11"/>
        <v>0</v>
      </c>
      <c r="AB54" s="354">
        <f t="shared" si="11"/>
        <v>-0.97129496497592538</v>
      </c>
      <c r="AC54" s="354">
        <f t="shared" si="11"/>
        <v>-0.92005296363140021</v>
      </c>
      <c r="AD54" s="354">
        <f t="shared" si="11"/>
        <v>-0.58517074007212755</v>
      </c>
      <c r="AE54" s="354">
        <f t="shared" si="11"/>
        <v>-0.61497536792151097</v>
      </c>
      <c r="AF54" s="354">
        <f t="shared" si="11"/>
        <v>-0.62194319233116435</v>
      </c>
      <c r="AG54" s="354">
        <f t="shared" si="11"/>
        <v>-0.62878491941363734</v>
      </c>
      <c r="AH54" s="354">
        <f t="shared" si="11"/>
        <v>-0.63550283116327799</v>
      </c>
      <c r="AI54" s="355">
        <f t="shared" si="11"/>
        <v>-0.60540907933508936</v>
      </c>
    </row>
    <row r="55" spans="1:35">
      <c r="A55" s="310"/>
      <c r="B55" s="316"/>
      <c r="C55" s="316">
        <v>0</v>
      </c>
      <c r="D55" s="316">
        <v>0</v>
      </c>
      <c r="E55" s="316">
        <v>0</v>
      </c>
      <c r="F55" s="316">
        <v>0</v>
      </c>
      <c r="G55" s="316">
        <v>0</v>
      </c>
      <c r="H55" s="316">
        <v>0</v>
      </c>
      <c r="I55" s="316">
        <v>0</v>
      </c>
      <c r="J55" s="316">
        <v>0</v>
      </c>
      <c r="K55" s="356"/>
      <c r="M55" s="310"/>
      <c r="N55" s="316"/>
      <c r="O55" s="357"/>
      <c r="P55" s="358"/>
      <c r="Q55" s="357"/>
      <c r="R55" s="358"/>
      <c r="S55" s="358"/>
      <c r="T55" s="358"/>
      <c r="U55" s="358"/>
      <c r="V55" s="358"/>
      <c r="W55" s="357"/>
      <c r="Y55" s="310"/>
      <c r="Z55" s="316"/>
      <c r="AA55" s="359"/>
      <c r="AB55" s="359"/>
      <c r="AC55" s="359"/>
      <c r="AD55" s="359"/>
      <c r="AE55" s="359"/>
      <c r="AF55" s="359"/>
      <c r="AG55" s="359"/>
      <c r="AH55" s="359"/>
      <c r="AI55" s="360"/>
    </row>
    <row r="56" spans="1:35">
      <c r="A56" s="341" t="s">
        <v>93</v>
      </c>
      <c r="B56" s="323"/>
      <c r="C56" s="323">
        <v>0</v>
      </c>
      <c r="D56" s="323">
        <v>0</v>
      </c>
      <c r="E56" s="323">
        <v>0</v>
      </c>
      <c r="F56" s="323">
        <v>0</v>
      </c>
      <c r="G56" s="323">
        <v>0</v>
      </c>
      <c r="H56" s="323">
        <v>0</v>
      </c>
      <c r="I56" s="323">
        <v>0</v>
      </c>
      <c r="J56" s="323">
        <v>0</v>
      </c>
      <c r="K56" s="361"/>
      <c r="M56" s="341" t="s">
        <v>93</v>
      </c>
      <c r="N56" s="323"/>
      <c r="O56" s="362"/>
      <c r="P56" s="363"/>
      <c r="Q56" s="362"/>
      <c r="R56" s="363"/>
      <c r="S56" s="363"/>
      <c r="T56" s="363"/>
      <c r="U56" s="363"/>
      <c r="V56" s="363"/>
      <c r="W56" s="362"/>
      <c r="Y56" s="341" t="s">
        <v>93</v>
      </c>
      <c r="Z56" s="323"/>
      <c r="AA56" s="364"/>
      <c r="AB56" s="364"/>
      <c r="AC56" s="364"/>
      <c r="AD56" s="364"/>
      <c r="AE56" s="364"/>
      <c r="AF56" s="364"/>
      <c r="AG56" s="364"/>
      <c r="AH56" s="364"/>
      <c r="AI56" s="365"/>
    </row>
    <row r="57" spans="1:35">
      <c r="A57" s="310" t="s">
        <v>94</v>
      </c>
      <c r="B57" s="329" t="s">
        <v>84</v>
      </c>
      <c r="C57" s="330">
        <v>443.58169999999996</v>
      </c>
      <c r="D57" s="330">
        <v>470</v>
      </c>
      <c r="E57" s="330">
        <v>470</v>
      </c>
      <c r="F57" s="330">
        <v>440</v>
      </c>
      <c r="G57" s="330">
        <v>440</v>
      </c>
      <c r="H57" s="330">
        <v>440</v>
      </c>
      <c r="I57" s="330">
        <v>410</v>
      </c>
      <c r="J57" s="330">
        <v>410</v>
      </c>
      <c r="K57" s="314">
        <f t="shared" ref="K57:K63" si="12">SUM(C57:J57)</f>
        <v>3523.5816999999997</v>
      </c>
      <c r="M57" s="310" t="s">
        <v>94</v>
      </c>
      <c r="N57" s="329" t="s">
        <v>84</v>
      </c>
      <c r="O57" s="366">
        <f t="shared" ref="O57:W63" si="13">C28-C57</f>
        <v>0</v>
      </c>
      <c r="P57" s="367">
        <f t="shared" si="13"/>
        <v>17.006619999999373</v>
      </c>
      <c r="Q57" s="366">
        <f t="shared" si="13"/>
        <v>-20.751700000000028</v>
      </c>
      <c r="R57" s="367">
        <f t="shared" si="13"/>
        <v>0</v>
      </c>
      <c r="S57" s="367">
        <f t="shared" si="13"/>
        <v>0</v>
      </c>
      <c r="T57" s="367">
        <f t="shared" si="13"/>
        <v>0</v>
      </c>
      <c r="U57" s="367">
        <f t="shared" si="13"/>
        <v>0</v>
      </c>
      <c r="V57" s="367">
        <f t="shared" si="13"/>
        <v>0</v>
      </c>
      <c r="W57" s="368">
        <f t="shared" si="13"/>
        <v>-3.7450800000005984</v>
      </c>
      <c r="Y57" s="310" t="s">
        <v>94</v>
      </c>
      <c r="Z57" s="329" t="s">
        <v>84</v>
      </c>
      <c r="AA57" s="369">
        <f t="shared" ref="AA57:AI63" si="14">(C28-C57)/C57</f>
        <v>0</v>
      </c>
      <c r="AB57" s="369">
        <f t="shared" si="14"/>
        <v>3.6184297872339094E-2</v>
      </c>
      <c r="AC57" s="369">
        <f t="shared" si="14"/>
        <v>-4.4152553191489419E-2</v>
      </c>
      <c r="AD57" s="369">
        <f t="shared" si="14"/>
        <v>0</v>
      </c>
      <c r="AE57" s="369">
        <f t="shared" si="14"/>
        <v>0</v>
      </c>
      <c r="AF57" s="369">
        <f t="shared" si="14"/>
        <v>0</v>
      </c>
      <c r="AG57" s="369">
        <f t="shared" si="14"/>
        <v>0</v>
      </c>
      <c r="AH57" s="369">
        <f t="shared" si="14"/>
        <v>0</v>
      </c>
      <c r="AI57" s="370">
        <f t="shared" si="14"/>
        <v>-1.062861689853991E-3</v>
      </c>
    </row>
    <row r="58" spans="1:35">
      <c r="A58" s="310" t="s">
        <v>95</v>
      </c>
      <c r="B58" s="329" t="s">
        <v>84</v>
      </c>
      <c r="C58" s="330">
        <v>28.650399999999998</v>
      </c>
      <c r="D58" s="330">
        <v>30</v>
      </c>
      <c r="E58" s="330">
        <v>30</v>
      </c>
      <c r="F58" s="330">
        <v>30</v>
      </c>
      <c r="G58" s="330">
        <v>30</v>
      </c>
      <c r="H58" s="330">
        <v>30</v>
      </c>
      <c r="I58" s="330">
        <v>30</v>
      </c>
      <c r="J58" s="330">
        <v>30</v>
      </c>
      <c r="K58" s="314">
        <f t="shared" si="12"/>
        <v>238.65039999999999</v>
      </c>
      <c r="M58" s="310" t="s">
        <v>95</v>
      </c>
      <c r="N58" s="329" t="s">
        <v>84</v>
      </c>
      <c r="O58" s="366">
        <f t="shared" si="13"/>
        <v>0</v>
      </c>
      <c r="P58" s="367">
        <f t="shared" si="13"/>
        <v>-5.1673000000000116</v>
      </c>
      <c r="Q58" s="366">
        <f t="shared" si="13"/>
        <v>-1.1872183333333268</v>
      </c>
      <c r="R58" s="367">
        <f t="shared" si="13"/>
        <v>-4.0752183333333321</v>
      </c>
      <c r="S58" s="367">
        <f t="shared" si="13"/>
        <v>-4.0752183333333321</v>
      </c>
      <c r="T58" s="367">
        <f t="shared" si="13"/>
        <v>-4.0752183333333321</v>
      </c>
      <c r="U58" s="367">
        <f t="shared" si="13"/>
        <v>-4.0752183333333321</v>
      </c>
      <c r="V58" s="367">
        <f t="shared" si="13"/>
        <v>-4.0752183333333321</v>
      </c>
      <c r="W58" s="368">
        <f t="shared" si="13"/>
        <v>-26.730610000000013</v>
      </c>
      <c r="Y58" s="310" t="s">
        <v>95</v>
      </c>
      <c r="Z58" s="329" t="s">
        <v>84</v>
      </c>
      <c r="AA58" s="369">
        <f t="shared" si="14"/>
        <v>0</v>
      </c>
      <c r="AB58" s="369">
        <f t="shared" si="14"/>
        <v>-0.17224333333333372</v>
      </c>
      <c r="AC58" s="369">
        <f t="shared" si="14"/>
        <v>-3.9573944444444224E-2</v>
      </c>
      <c r="AD58" s="369">
        <f t="shared" si="14"/>
        <v>-0.13584061111111106</v>
      </c>
      <c r="AE58" s="369">
        <f t="shared" si="14"/>
        <v>-0.13584061111111106</v>
      </c>
      <c r="AF58" s="369">
        <f t="shared" si="14"/>
        <v>-0.13584061111111106</v>
      </c>
      <c r="AG58" s="369">
        <f t="shared" si="14"/>
        <v>-0.13584061111111106</v>
      </c>
      <c r="AH58" s="369">
        <f t="shared" si="14"/>
        <v>-0.13584061111111106</v>
      </c>
      <c r="AI58" s="370">
        <f t="shared" si="14"/>
        <v>-0.1120073965935109</v>
      </c>
    </row>
    <row r="59" spans="1:35">
      <c r="A59" s="310" t="s">
        <v>96</v>
      </c>
      <c r="B59" s="329" t="s">
        <v>84</v>
      </c>
      <c r="C59" s="330">
        <v>7.1769999999999996</v>
      </c>
      <c r="D59" s="330">
        <v>5</v>
      </c>
      <c r="E59" s="330">
        <v>5</v>
      </c>
      <c r="F59" s="330">
        <v>5</v>
      </c>
      <c r="G59" s="330">
        <v>5</v>
      </c>
      <c r="H59" s="330">
        <v>5</v>
      </c>
      <c r="I59" s="330">
        <v>5</v>
      </c>
      <c r="J59" s="330">
        <v>5</v>
      </c>
      <c r="K59" s="314">
        <f t="shared" si="12"/>
        <v>42.177</v>
      </c>
      <c r="M59" s="310" t="s">
        <v>96</v>
      </c>
      <c r="N59" s="329" t="s">
        <v>84</v>
      </c>
      <c r="O59" s="366">
        <f t="shared" si="13"/>
        <v>0</v>
      </c>
      <c r="P59" s="367">
        <f t="shared" si="13"/>
        <v>0.40999999999999837</v>
      </c>
      <c r="Q59" s="366">
        <f t="shared" si="13"/>
        <v>0</v>
      </c>
      <c r="R59" s="367">
        <f t="shared" si="13"/>
        <v>0</v>
      </c>
      <c r="S59" s="367">
        <f t="shared" si="13"/>
        <v>0</v>
      </c>
      <c r="T59" s="367">
        <f t="shared" si="13"/>
        <v>0</v>
      </c>
      <c r="U59" s="367">
        <f t="shared" si="13"/>
        <v>0</v>
      </c>
      <c r="V59" s="367">
        <f t="shared" si="13"/>
        <v>0</v>
      </c>
      <c r="W59" s="368">
        <f t="shared" si="13"/>
        <v>0.40999999999999659</v>
      </c>
      <c r="Y59" s="310" t="s">
        <v>96</v>
      </c>
      <c r="Z59" s="329" t="s">
        <v>84</v>
      </c>
      <c r="AA59" s="369">
        <f t="shared" si="14"/>
        <v>0</v>
      </c>
      <c r="AB59" s="369">
        <f t="shared" si="14"/>
        <v>8.199999999999967E-2</v>
      </c>
      <c r="AC59" s="369">
        <f t="shared" si="14"/>
        <v>0</v>
      </c>
      <c r="AD59" s="369">
        <f t="shared" si="14"/>
        <v>0</v>
      </c>
      <c r="AE59" s="369">
        <f t="shared" si="14"/>
        <v>0</v>
      </c>
      <c r="AF59" s="369">
        <f t="shared" si="14"/>
        <v>0</v>
      </c>
      <c r="AG59" s="369">
        <f t="shared" si="14"/>
        <v>0</v>
      </c>
      <c r="AH59" s="369">
        <f t="shared" si="14"/>
        <v>0</v>
      </c>
      <c r="AI59" s="370">
        <f t="shared" si="14"/>
        <v>9.7209379519642598E-3</v>
      </c>
    </row>
    <row r="60" spans="1:35">
      <c r="A60" s="342" t="s">
        <v>97</v>
      </c>
      <c r="B60" s="343" t="s">
        <v>84</v>
      </c>
      <c r="C60" s="330">
        <v>57.637399999999992</v>
      </c>
      <c r="D60" s="330">
        <v>53</v>
      </c>
      <c r="E60" s="330">
        <v>53</v>
      </c>
      <c r="F60" s="330">
        <v>51</v>
      </c>
      <c r="G60" s="330">
        <v>51</v>
      </c>
      <c r="H60" s="330">
        <v>51</v>
      </c>
      <c r="I60" s="330">
        <v>49</v>
      </c>
      <c r="J60" s="330">
        <v>49</v>
      </c>
      <c r="K60" s="314">
        <f t="shared" si="12"/>
        <v>414.63739999999996</v>
      </c>
      <c r="M60" s="342" t="s">
        <v>97</v>
      </c>
      <c r="N60" s="343" t="s">
        <v>84</v>
      </c>
      <c r="O60" s="366">
        <f t="shared" si="13"/>
        <v>0</v>
      </c>
      <c r="P60" s="367">
        <f t="shared" si="13"/>
        <v>22.564840000000132</v>
      </c>
      <c r="Q60" s="366">
        <f t="shared" si="13"/>
        <v>15.726429110412084</v>
      </c>
      <c r="R60" s="367">
        <f t="shared" si="13"/>
        <v>13.777756512300527</v>
      </c>
      <c r="S60" s="367">
        <f t="shared" si="13"/>
        <v>13.777756512300527</v>
      </c>
      <c r="T60" s="367">
        <f t="shared" si="13"/>
        <v>13.777756512300527</v>
      </c>
      <c r="U60" s="367">
        <f t="shared" si="13"/>
        <v>12.765291741115938</v>
      </c>
      <c r="V60" s="367">
        <f t="shared" si="13"/>
        <v>12.765291741115938</v>
      </c>
      <c r="W60" s="368">
        <f t="shared" si="13"/>
        <v>105.1551221295457</v>
      </c>
      <c r="Y60" s="342" t="s">
        <v>97</v>
      </c>
      <c r="Z60" s="343" t="s">
        <v>84</v>
      </c>
      <c r="AA60" s="369">
        <f t="shared" si="14"/>
        <v>0</v>
      </c>
      <c r="AB60" s="369">
        <f t="shared" si="14"/>
        <v>0.42575169811321001</v>
      </c>
      <c r="AC60" s="369">
        <f t="shared" si="14"/>
        <v>0.29672507755494498</v>
      </c>
      <c r="AD60" s="369">
        <f t="shared" si="14"/>
        <v>0.27015208847648092</v>
      </c>
      <c r="AE60" s="369">
        <f t="shared" si="14"/>
        <v>0.27015208847648092</v>
      </c>
      <c r="AF60" s="369">
        <f t="shared" si="14"/>
        <v>0.27015208847648092</v>
      </c>
      <c r="AG60" s="369">
        <f t="shared" si="14"/>
        <v>0.26051615798195793</v>
      </c>
      <c r="AH60" s="369">
        <f t="shared" si="14"/>
        <v>0.26051615798195793</v>
      </c>
      <c r="AI60" s="370">
        <f t="shared" si="14"/>
        <v>0.25360742212242726</v>
      </c>
    </row>
    <row r="61" spans="1:35">
      <c r="A61" s="342" t="s">
        <v>98</v>
      </c>
      <c r="B61" s="343" t="s">
        <v>84</v>
      </c>
      <c r="C61" s="330">
        <v>25.035459999999997</v>
      </c>
      <c r="D61" s="330">
        <v>24</v>
      </c>
      <c r="E61" s="330">
        <v>24</v>
      </c>
      <c r="F61" s="330">
        <v>24</v>
      </c>
      <c r="G61" s="330">
        <v>24</v>
      </c>
      <c r="H61" s="330">
        <v>24</v>
      </c>
      <c r="I61" s="330">
        <v>24</v>
      </c>
      <c r="J61" s="330">
        <v>24</v>
      </c>
      <c r="K61" s="314">
        <f t="shared" si="12"/>
        <v>193.03546</v>
      </c>
      <c r="M61" s="342" t="s">
        <v>98</v>
      </c>
      <c r="N61" s="343" t="s">
        <v>84</v>
      </c>
      <c r="O61" s="366">
        <f t="shared" si="13"/>
        <v>0</v>
      </c>
      <c r="P61" s="367">
        <f t="shared" si="13"/>
        <v>0.31389999999999674</v>
      </c>
      <c r="Q61" s="366">
        <f t="shared" si="13"/>
        <v>4.6688399999996761</v>
      </c>
      <c r="R61" s="367">
        <f t="shared" si="13"/>
        <v>4.6688399999996761</v>
      </c>
      <c r="S61" s="367">
        <f t="shared" si="13"/>
        <v>0.66883999999967614</v>
      </c>
      <c r="T61" s="367">
        <f t="shared" si="13"/>
        <v>0.66883999999967614</v>
      </c>
      <c r="U61" s="367">
        <f t="shared" si="13"/>
        <v>0.66883999999967614</v>
      </c>
      <c r="V61" s="367">
        <f t="shared" si="13"/>
        <v>0.66883999999967614</v>
      </c>
      <c r="W61" s="368">
        <f t="shared" si="13"/>
        <v>12.326939999998046</v>
      </c>
      <c r="Y61" s="342" t="s">
        <v>98</v>
      </c>
      <c r="Z61" s="343" t="s">
        <v>84</v>
      </c>
      <c r="AA61" s="369">
        <f t="shared" si="14"/>
        <v>0</v>
      </c>
      <c r="AB61" s="369">
        <f t="shared" si="14"/>
        <v>1.3079166666666531E-2</v>
      </c>
      <c r="AC61" s="369">
        <f t="shared" si="14"/>
        <v>0.1945349999999865</v>
      </c>
      <c r="AD61" s="369">
        <f t="shared" si="14"/>
        <v>0.1945349999999865</v>
      </c>
      <c r="AE61" s="369">
        <f t="shared" si="14"/>
        <v>2.7868333333319839E-2</v>
      </c>
      <c r="AF61" s="369">
        <f t="shared" si="14"/>
        <v>2.7868333333319839E-2</v>
      </c>
      <c r="AG61" s="369">
        <f t="shared" si="14"/>
        <v>2.7868333333319839E-2</v>
      </c>
      <c r="AH61" s="369">
        <f t="shared" si="14"/>
        <v>2.7868333333319839E-2</v>
      </c>
      <c r="AI61" s="370">
        <f t="shared" si="14"/>
        <v>6.3858422696006459E-2</v>
      </c>
    </row>
    <row r="62" spans="1:35" ht="14.25">
      <c r="A62" s="310" t="s">
        <v>99</v>
      </c>
      <c r="B62" s="338" t="s">
        <v>79</v>
      </c>
      <c r="C62" s="312">
        <v>14588</v>
      </c>
      <c r="D62" s="312">
        <v>15225</v>
      </c>
      <c r="E62" s="312">
        <v>15225</v>
      </c>
      <c r="F62" s="312">
        <v>14385</v>
      </c>
      <c r="G62" s="312">
        <v>14385</v>
      </c>
      <c r="H62" s="312">
        <v>14385</v>
      </c>
      <c r="I62" s="312">
        <v>13546</v>
      </c>
      <c r="J62" s="312">
        <v>13546</v>
      </c>
      <c r="K62" s="314">
        <f t="shared" si="12"/>
        <v>115285</v>
      </c>
      <c r="M62" s="310" t="s">
        <v>99</v>
      </c>
      <c r="N62" s="338" t="s">
        <v>79</v>
      </c>
      <c r="O62" s="352">
        <f t="shared" si="13"/>
        <v>0</v>
      </c>
      <c r="P62" s="353">
        <f t="shared" si="13"/>
        <v>864</v>
      </c>
      <c r="Q62" s="352">
        <f t="shared" si="13"/>
        <v>-443.93548463638763</v>
      </c>
      <c r="R62" s="353">
        <f t="shared" si="13"/>
        <v>217.51148349099458</v>
      </c>
      <c r="S62" s="353">
        <f t="shared" si="13"/>
        <v>217.51148349099458</v>
      </c>
      <c r="T62" s="353">
        <f t="shared" si="13"/>
        <v>217.51148349099458</v>
      </c>
      <c r="U62" s="353">
        <f t="shared" si="13"/>
        <v>196.25181518651152</v>
      </c>
      <c r="V62" s="353">
        <f t="shared" si="13"/>
        <v>196.25181518651152</v>
      </c>
      <c r="W62" s="368">
        <f t="shared" si="13"/>
        <v>1465.1025962096028</v>
      </c>
      <c r="Y62" s="310" t="s">
        <v>99</v>
      </c>
      <c r="Z62" s="338" t="s">
        <v>79</v>
      </c>
      <c r="AA62" s="354">
        <f t="shared" si="14"/>
        <v>0</v>
      </c>
      <c r="AB62" s="354">
        <f t="shared" si="14"/>
        <v>5.6748768472906407E-2</v>
      </c>
      <c r="AC62" s="354">
        <f t="shared" si="14"/>
        <v>-2.9158324114048447E-2</v>
      </c>
      <c r="AD62" s="354">
        <f t="shared" si="14"/>
        <v>1.5120714875981548E-2</v>
      </c>
      <c r="AE62" s="354">
        <f t="shared" si="14"/>
        <v>1.5120714875981548E-2</v>
      </c>
      <c r="AF62" s="354">
        <f t="shared" si="14"/>
        <v>1.5120714875981548E-2</v>
      </c>
      <c r="AG62" s="354">
        <f t="shared" si="14"/>
        <v>1.4487805639045587E-2</v>
      </c>
      <c r="AH62" s="354">
        <f t="shared" si="14"/>
        <v>1.4487805639045587E-2</v>
      </c>
      <c r="AI62" s="370">
        <f t="shared" si="14"/>
        <v>1.2708527529250143E-2</v>
      </c>
    </row>
    <row r="63" spans="1:35" ht="14.25">
      <c r="A63" s="344" t="s">
        <v>100</v>
      </c>
      <c r="B63" s="338" t="s">
        <v>79</v>
      </c>
      <c r="C63" s="312">
        <v>29579.060329786083</v>
      </c>
      <c r="D63" s="312">
        <v>30351</v>
      </c>
      <c r="E63" s="312">
        <v>30351</v>
      </c>
      <c r="F63" s="312">
        <v>29084</v>
      </c>
      <c r="G63" s="312">
        <v>29084</v>
      </c>
      <c r="H63" s="312">
        <v>29084</v>
      </c>
      <c r="I63" s="312">
        <v>27816</v>
      </c>
      <c r="J63" s="312">
        <v>27816</v>
      </c>
      <c r="K63" s="314">
        <f t="shared" si="12"/>
        <v>233165.06032978609</v>
      </c>
      <c r="M63" s="344" t="s">
        <v>100</v>
      </c>
      <c r="N63" s="338" t="s">
        <v>79</v>
      </c>
      <c r="O63" s="352">
        <f t="shared" si="13"/>
        <v>0</v>
      </c>
      <c r="P63" s="353">
        <f t="shared" si="13"/>
        <v>941</v>
      </c>
      <c r="Q63" s="352">
        <f t="shared" si="13"/>
        <v>1854</v>
      </c>
      <c r="R63" s="353">
        <f t="shared" si="13"/>
        <v>2853</v>
      </c>
      <c r="S63" s="353">
        <f t="shared" si="13"/>
        <v>2853</v>
      </c>
      <c r="T63" s="353">
        <f t="shared" si="13"/>
        <v>2854</v>
      </c>
      <c r="U63" s="353">
        <f t="shared" si="13"/>
        <v>2832</v>
      </c>
      <c r="V63" s="353">
        <f t="shared" si="13"/>
        <v>2832</v>
      </c>
      <c r="W63" s="368">
        <f t="shared" si="13"/>
        <v>17019</v>
      </c>
      <c r="Y63" s="344" t="s">
        <v>100</v>
      </c>
      <c r="Z63" s="338" t="s">
        <v>79</v>
      </c>
      <c r="AA63" s="354">
        <f t="shared" si="14"/>
        <v>0</v>
      </c>
      <c r="AB63" s="354">
        <f t="shared" si="14"/>
        <v>3.1003920793384075E-2</v>
      </c>
      <c r="AC63" s="354">
        <f t="shared" si="14"/>
        <v>6.1085301966986263E-2</v>
      </c>
      <c r="AD63" s="354">
        <f t="shared" si="14"/>
        <v>9.8095172603493333E-2</v>
      </c>
      <c r="AE63" s="354">
        <f t="shared" si="14"/>
        <v>9.8095172603493333E-2</v>
      </c>
      <c r="AF63" s="354">
        <f t="shared" si="14"/>
        <v>9.8129555769495252E-2</v>
      </c>
      <c r="AG63" s="354">
        <f t="shared" si="14"/>
        <v>0.10181190681622088</v>
      </c>
      <c r="AH63" s="354">
        <f t="shared" si="14"/>
        <v>0.10181190681622088</v>
      </c>
      <c r="AI63" s="370">
        <f t="shared" si="14"/>
        <v>7.2991210500958054E-2</v>
      </c>
    </row>
    <row r="64" spans="1:35">
      <c r="C64" s="379">
        <v>0</v>
      </c>
      <c r="D64" s="379">
        <v>0</v>
      </c>
      <c r="E64" s="379">
        <v>0</v>
      </c>
      <c r="F64" s="379">
        <v>0</v>
      </c>
      <c r="G64" s="379">
        <v>0</v>
      </c>
      <c r="H64" s="379">
        <v>0</v>
      </c>
      <c r="I64" s="379">
        <v>0</v>
      </c>
      <c r="J64" s="379">
        <v>0</v>
      </c>
      <c r="K64" s="379">
        <v>0</v>
      </c>
    </row>
    <row r="65" spans="1:35">
      <c r="A65" s="8" t="s">
        <v>103</v>
      </c>
      <c r="D65" s="8"/>
      <c r="M65" s="8" t="s">
        <v>104</v>
      </c>
      <c r="P65" s="8"/>
      <c r="Y65" s="8" t="s">
        <v>105</v>
      </c>
      <c r="AB65" s="8"/>
    </row>
    <row r="67" spans="1:35" ht="12.75" customHeight="1">
      <c r="A67" s="10"/>
      <c r="B67" s="293"/>
      <c r="C67" s="380"/>
      <c r="D67" s="381"/>
      <c r="E67" s="382"/>
      <c r="F67" s="381"/>
      <c r="G67" s="381"/>
      <c r="H67" s="381"/>
      <c r="I67" s="381"/>
      <c r="J67" s="381"/>
      <c r="K67" s="383"/>
      <c r="M67" s="10"/>
      <c r="N67" s="293"/>
      <c r="O67" s="494" t="s">
        <v>75</v>
      </c>
      <c r="P67" s="494"/>
      <c r="Q67" s="494"/>
      <c r="R67" s="495" t="s">
        <v>3</v>
      </c>
      <c r="S67" s="490"/>
      <c r="T67" s="490"/>
      <c r="U67" s="490"/>
      <c r="V67" s="491"/>
      <c r="W67" s="294"/>
      <c r="Y67" s="10"/>
      <c r="Z67" s="293"/>
      <c r="AA67" s="494" t="s">
        <v>75</v>
      </c>
      <c r="AB67" s="494"/>
      <c r="AC67" s="494"/>
      <c r="AD67" s="495" t="s">
        <v>3</v>
      </c>
      <c r="AE67" s="490"/>
      <c r="AF67" s="490"/>
      <c r="AG67" s="490"/>
      <c r="AH67" s="491"/>
      <c r="AI67" s="294"/>
    </row>
    <row r="68" spans="1:35">
      <c r="A68" s="12"/>
      <c r="B68" s="295"/>
      <c r="C68" s="487" t="s">
        <v>106</v>
      </c>
      <c r="D68" s="488"/>
      <c r="E68" s="488"/>
      <c r="F68" s="488"/>
      <c r="G68" s="488"/>
      <c r="H68" s="488"/>
      <c r="I68" s="488"/>
      <c r="J68" s="488"/>
      <c r="K68" s="489"/>
      <c r="M68" s="12"/>
      <c r="N68" s="295"/>
      <c r="O68" s="494"/>
      <c r="P68" s="494"/>
      <c r="Q68" s="494"/>
      <c r="R68" s="496"/>
      <c r="S68" s="492"/>
      <c r="T68" s="492"/>
      <c r="U68" s="492"/>
      <c r="V68" s="493"/>
      <c r="W68" s="345"/>
      <c r="Y68" s="12"/>
      <c r="Z68" s="295"/>
      <c r="AA68" s="494"/>
      <c r="AB68" s="494"/>
      <c r="AC68" s="494"/>
      <c r="AD68" s="496"/>
      <c r="AE68" s="492"/>
      <c r="AF68" s="492"/>
      <c r="AG68" s="492"/>
      <c r="AH68" s="493"/>
      <c r="AI68" s="345"/>
    </row>
    <row r="69" spans="1:35" ht="25.5">
      <c r="A69" s="14" t="s">
        <v>76</v>
      </c>
      <c r="B69" s="346" t="s">
        <v>102</v>
      </c>
      <c r="C69" s="298">
        <v>2014</v>
      </c>
      <c r="D69" s="299">
        <v>2015</v>
      </c>
      <c r="E69" s="299">
        <v>2016</v>
      </c>
      <c r="F69" s="300">
        <v>2017</v>
      </c>
      <c r="G69" s="299">
        <v>2018</v>
      </c>
      <c r="H69" s="300">
        <v>2019</v>
      </c>
      <c r="I69" s="299">
        <v>2020</v>
      </c>
      <c r="J69" s="301">
        <v>2021</v>
      </c>
      <c r="K69" s="302" t="s">
        <v>65</v>
      </c>
      <c r="M69" s="14" t="s">
        <v>76</v>
      </c>
      <c r="N69" s="346" t="s">
        <v>102</v>
      </c>
      <c r="O69" s="298">
        <v>2014</v>
      </c>
      <c r="P69" s="299">
        <v>2015</v>
      </c>
      <c r="Q69" s="299">
        <v>2016</v>
      </c>
      <c r="R69" s="300">
        <v>2017</v>
      </c>
      <c r="S69" s="299">
        <v>2018</v>
      </c>
      <c r="T69" s="300">
        <v>2019</v>
      </c>
      <c r="U69" s="299">
        <v>2020</v>
      </c>
      <c r="V69" s="301">
        <v>2021</v>
      </c>
      <c r="W69" s="302" t="s">
        <v>65</v>
      </c>
      <c r="Y69" s="14" t="s">
        <v>76</v>
      </c>
      <c r="Z69" s="346" t="s">
        <v>102</v>
      </c>
      <c r="AA69" s="298">
        <v>2014</v>
      </c>
      <c r="AB69" s="299">
        <v>2015</v>
      </c>
      <c r="AC69" s="299">
        <v>2016</v>
      </c>
      <c r="AD69" s="300">
        <v>2017</v>
      </c>
      <c r="AE69" s="299">
        <v>2018</v>
      </c>
      <c r="AF69" s="300">
        <v>2019</v>
      </c>
      <c r="AG69" s="299">
        <v>2020</v>
      </c>
      <c r="AH69" s="301">
        <v>2021</v>
      </c>
      <c r="AI69" s="302" t="s">
        <v>65</v>
      </c>
    </row>
    <row r="70" spans="1:35">
      <c r="A70" s="303" t="s">
        <v>77</v>
      </c>
      <c r="B70" s="304"/>
      <c r="C70" s="347"/>
      <c r="D70" s="348"/>
      <c r="E70" s="348"/>
      <c r="F70" s="348"/>
      <c r="G70" s="348"/>
      <c r="H70" s="348"/>
      <c r="I70" s="348"/>
      <c r="J70" s="348"/>
      <c r="K70" s="309"/>
      <c r="M70" s="303" t="s">
        <v>77</v>
      </c>
      <c r="N70" s="304"/>
      <c r="O70" s="347"/>
      <c r="P70" s="348"/>
      <c r="Q70" s="384"/>
      <c r="R70" s="348"/>
      <c r="S70" s="348"/>
      <c r="T70" s="348"/>
      <c r="U70" s="348"/>
      <c r="V70" s="348"/>
      <c r="W70" s="309"/>
      <c r="Y70" s="303" t="s">
        <v>77</v>
      </c>
      <c r="Z70" s="304"/>
      <c r="AA70" s="347"/>
      <c r="AB70" s="348"/>
      <c r="AC70" s="348"/>
      <c r="AD70" s="348"/>
      <c r="AE70" s="348"/>
      <c r="AF70" s="348"/>
      <c r="AG70" s="348"/>
      <c r="AH70" s="348"/>
      <c r="AI70" s="309"/>
    </row>
    <row r="71" spans="1:35" ht="14.25">
      <c r="A71" s="310" t="s">
        <v>78</v>
      </c>
      <c r="B71" s="311" t="s">
        <v>79</v>
      </c>
      <c r="C71" s="312">
        <v>8193.1936094867378</v>
      </c>
      <c r="D71" s="312">
        <v>7959.4713041565947</v>
      </c>
      <c r="E71" s="312">
        <v>7736.6398428291313</v>
      </c>
      <c r="F71" s="312">
        <v>7524.500139825429</v>
      </c>
      <c r="G71" s="312">
        <v>7322.8593531269507</v>
      </c>
      <c r="H71" s="312">
        <v>7131.5333492061609</v>
      </c>
      <c r="I71" s="312">
        <v>6950.3528515992293</v>
      </c>
      <c r="J71" s="312">
        <v>6779.1801585877565</v>
      </c>
      <c r="K71" s="314">
        <v>59597.73060881799</v>
      </c>
      <c r="M71" s="310" t="s">
        <v>78</v>
      </c>
      <c r="N71" s="311" t="s">
        <v>79</v>
      </c>
      <c r="O71" s="385">
        <f>C13-C71</f>
        <v>1385.8063905132622</v>
      </c>
      <c r="P71" s="386">
        <f t="shared" ref="P71:W71" si="15">D13-D71</f>
        <v>506.52869584340533</v>
      </c>
      <c r="Q71" s="386">
        <f t="shared" si="15"/>
        <v>2063.3601571708687</v>
      </c>
      <c r="R71" s="386">
        <f t="shared" si="15"/>
        <v>1981.499860174571</v>
      </c>
      <c r="S71" s="386">
        <f t="shared" si="15"/>
        <v>1897.960646873049</v>
      </c>
      <c r="T71" s="386">
        <f t="shared" si="15"/>
        <v>1812.6620507938378</v>
      </c>
      <c r="U71" s="386">
        <f t="shared" si="15"/>
        <v>1725.5166864007697</v>
      </c>
      <c r="V71" s="386">
        <f t="shared" si="15"/>
        <v>1636.4132932722423</v>
      </c>
      <c r="W71" s="387">
        <f t="shared" si="15"/>
        <v>13009.74778104201</v>
      </c>
      <c r="Y71" s="310" t="s">
        <v>78</v>
      </c>
      <c r="Z71" s="311" t="s">
        <v>79</v>
      </c>
      <c r="AA71" s="388">
        <f>(C13-C71)/C71</f>
        <v>0.16914117456087749</v>
      </c>
      <c r="AB71" s="389">
        <f t="shared" ref="AB71:AI71" si="16">(D13-D71)/D71</f>
        <v>6.363848508114929E-2</v>
      </c>
      <c r="AC71" s="389">
        <f t="shared" si="16"/>
        <v>0.26669978169958858</v>
      </c>
      <c r="AD71" s="389">
        <f t="shared" si="16"/>
        <v>0.26333973331822447</v>
      </c>
      <c r="AE71" s="389">
        <f t="shared" si="16"/>
        <v>0.2591829987916669</v>
      </c>
      <c r="AF71" s="389">
        <f t="shared" si="16"/>
        <v>0.25417563966038415</v>
      </c>
      <c r="AG71" s="389">
        <f t="shared" si="16"/>
        <v>0.24826317789085198</v>
      </c>
      <c r="AH71" s="389">
        <f t="shared" si="16"/>
        <v>0.24138808159556879</v>
      </c>
      <c r="AI71" s="390">
        <f t="shared" si="16"/>
        <v>0.21829267067959643</v>
      </c>
    </row>
    <row r="72" spans="1:35" ht="14.25">
      <c r="A72" s="310" t="s">
        <v>80</v>
      </c>
      <c r="B72" s="311" t="s">
        <v>79</v>
      </c>
      <c r="C72" s="312">
        <v>12526.692226961295</v>
      </c>
      <c r="D72" s="312">
        <v>12228.266300050751</v>
      </c>
      <c r="E72" s="312">
        <v>11884.134151354718</v>
      </c>
      <c r="F72" s="312">
        <v>11492.202040874312</v>
      </c>
      <c r="G72" s="312">
        <v>11050.484202226233</v>
      </c>
      <c r="H72" s="312">
        <v>10553.541498140641</v>
      </c>
      <c r="I72" s="312">
        <v>9990.1348378965049</v>
      </c>
      <c r="J72" s="312">
        <v>9369.1191691601634</v>
      </c>
      <c r="K72" s="314">
        <v>89094.574426664622</v>
      </c>
      <c r="M72" s="310" t="s">
        <v>80</v>
      </c>
      <c r="N72" s="311" t="s">
        <v>79</v>
      </c>
      <c r="O72" s="385">
        <f t="shared" ref="O72:W72" si="17">C14-C72</f>
        <v>-396.69222696129509</v>
      </c>
      <c r="P72" s="386">
        <f t="shared" si="17"/>
        <v>-3382.2663000507509</v>
      </c>
      <c r="Q72" s="386">
        <f t="shared" si="17"/>
        <v>815.86584864528231</v>
      </c>
      <c r="R72" s="386">
        <f t="shared" si="17"/>
        <v>826.79795912568807</v>
      </c>
      <c r="S72" s="386">
        <f t="shared" si="17"/>
        <v>898.94579777376748</v>
      </c>
      <c r="T72" s="386">
        <f t="shared" si="17"/>
        <v>1037.4056018593583</v>
      </c>
      <c r="U72" s="386">
        <f t="shared" si="17"/>
        <v>1253.0838491034938</v>
      </c>
      <c r="V72" s="386">
        <f t="shared" si="17"/>
        <v>1536.8029572298346</v>
      </c>
      <c r="W72" s="387">
        <f t="shared" si="17"/>
        <v>2589.9434867253731</v>
      </c>
      <c r="Y72" s="310" t="s">
        <v>80</v>
      </c>
      <c r="Z72" s="311" t="s">
        <v>79</v>
      </c>
      <c r="AA72" s="388">
        <f t="shared" ref="AA72:AI73" si="18">(C14-C72)/C72</f>
        <v>-3.1667755523480605E-2</v>
      </c>
      <c r="AB72" s="389">
        <f t="shared" si="18"/>
        <v>-0.27659409903730292</v>
      </c>
      <c r="AC72" s="389">
        <f t="shared" si="18"/>
        <v>6.8651686210751725E-2</v>
      </c>
      <c r="AD72" s="389">
        <f t="shared" si="18"/>
        <v>7.1944258914437453E-2</v>
      </c>
      <c r="AE72" s="389">
        <f t="shared" si="18"/>
        <v>8.134899623608037E-2</v>
      </c>
      <c r="AF72" s="389">
        <f t="shared" si="18"/>
        <v>9.8299286741055786E-2</v>
      </c>
      <c r="AG72" s="389">
        <f t="shared" si="18"/>
        <v>0.12543212573568624</v>
      </c>
      <c r="AH72" s="389">
        <f t="shared" si="18"/>
        <v>0.16402854200941835</v>
      </c>
      <c r="AI72" s="390">
        <f t="shared" si="18"/>
        <v>2.9069598271185448E-2</v>
      </c>
    </row>
    <row r="73" spans="1:35" ht="14.25">
      <c r="A73" s="310" t="s">
        <v>81</v>
      </c>
      <c r="B73" s="311" t="s">
        <v>79</v>
      </c>
      <c r="C73" s="312" t="s">
        <v>107</v>
      </c>
      <c r="D73" s="312" t="s">
        <v>107</v>
      </c>
      <c r="E73" s="312" t="s">
        <v>107</v>
      </c>
      <c r="F73" s="312" t="s">
        <v>107</v>
      </c>
      <c r="G73" s="312" t="s">
        <v>107</v>
      </c>
      <c r="H73" s="312" t="s">
        <v>107</v>
      </c>
      <c r="I73" s="312" t="s">
        <v>107</v>
      </c>
      <c r="J73" s="312" t="s">
        <v>107</v>
      </c>
      <c r="K73" s="312" t="s">
        <v>108</v>
      </c>
      <c r="M73" s="310" t="s">
        <v>81</v>
      </c>
      <c r="N73" s="311" t="s">
        <v>79</v>
      </c>
      <c r="O73" s="385"/>
      <c r="P73" s="386"/>
      <c r="Q73" s="386"/>
      <c r="R73" s="386"/>
      <c r="S73" s="386"/>
      <c r="T73" s="386"/>
      <c r="U73" s="386"/>
      <c r="V73" s="386"/>
      <c r="W73" s="387"/>
      <c r="Y73" s="310" t="s">
        <v>81</v>
      </c>
      <c r="Z73" s="311" t="s">
        <v>79</v>
      </c>
      <c r="AA73" s="388"/>
      <c r="AB73" s="389"/>
      <c r="AC73" s="389"/>
      <c r="AD73" s="389"/>
      <c r="AE73" s="389"/>
      <c r="AF73" s="389"/>
      <c r="AG73" s="389"/>
      <c r="AH73" s="389"/>
      <c r="AI73" s="390" t="e">
        <f t="shared" si="18"/>
        <v>#VALUE!</v>
      </c>
    </row>
    <row r="74" spans="1:35">
      <c r="A74" s="315"/>
      <c r="B74" s="316"/>
      <c r="C74" s="316"/>
      <c r="D74" s="316"/>
      <c r="E74" s="316"/>
      <c r="F74" s="316"/>
      <c r="G74" s="316"/>
      <c r="H74" s="316"/>
      <c r="I74" s="316"/>
      <c r="J74" s="316"/>
      <c r="K74" s="356"/>
      <c r="M74" s="315"/>
      <c r="N74" s="316"/>
      <c r="O74" s="391"/>
      <c r="P74" s="391"/>
      <c r="Q74" s="391"/>
      <c r="R74" s="391"/>
      <c r="S74" s="391"/>
      <c r="T74" s="391"/>
      <c r="U74" s="391"/>
      <c r="V74" s="391"/>
      <c r="W74" s="392"/>
      <c r="Y74" s="315"/>
      <c r="Z74" s="316"/>
      <c r="AA74" s="393"/>
      <c r="AB74" s="393"/>
      <c r="AC74" s="393"/>
      <c r="AD74" s="393"/>
      <c r="AE74" s="393"/>
      <c r="AF74" s="393"/>
      <c r="AG74" s="393"/>
      <c r="AH74" s="393"/>
      <c r="AI74" s="394"/>
    </row>
    <row r="75" spans="1:35">
      <c r="A75" s="322" t="s">
        <v>82</v>
      </c>
      <c r="B75" s="323"/>
      <c r="C75" s="323"/>
      <c r="D75" s="323"/>
      <c r="E75" s="323"/>
      <c r="F75" s="323"/>
      <c r="G75" s="323"/>
      <c r="H75" s="323"/>
      <c r="I75" s="323"/>
      <c r="J75" s="323"/>
      <c r="K75" s="361"/>
      <c r="M75" s="322" t="s">
        <v>82</v>
      </c>
      <c r="N75" s="323"/>
      <c r="O75" s="395"/>
      <c r="P75" s="395"/>
      <c r="Q75" s="395"/>
      <c r="R75" s="395"/>
      <c r="S75" s="395"/>
      <c r="T75" s="395"/>
      <c r="U75" s="395"/>
      <c r="V75" s="395"/>
      <c r="W75" s="396"/>
      <c r="Y75" s="322" t="s">
        <v>82</v>
      </c>
      <c r="Z75" s="323"/>
      <c r="AA75" s="397"/>
      <c r="AB75" s="397"/>
      <c r="AC75" s="397"/>
      <c r="AD75" s="397"/>
      <c r="AE75" s="397"/>
      <c r="AF75" s="397"/>
      <c r="AG75" s="397"/>
      <c r="AH75" s="397"/>
      <c r="AI75" s="398"/>
    </row>
    <row r="76" spans="1:35">
      <c r="A76" s="310" t="s">
        <v>83</v>
      </c>
      <c r="B76" s="329" t="s">
        <v>84</v>
      </c>
      <c r="C76" s="330">
        <v>18.320999999999998</v>
      </c>
      <c r="D76" s="330">
        <v>18.320999999999998</v>
      </c>
      <c r="E76" s="330">
        <v>17.934999999999999</v>
      </c>
      <c r="F76" s="330">
        <v>17.934999999999999</v>
      </c>
      <c r="G76" s="330">
        <v>17.548999999999999</v>
      </c>
      <c r="H76" s="330">
        <v>16.831</v>
      </c>
      <c r="I76" s="330">
        <v>16.831</v>
      </c>
      <c r="J76" s="330">
        <v>16.116</v>
      </c>
      <c r="K76" s="332">
        <v>139.839</v>
      </c>
      <c r="M76" s="310" t="s">
        <v>83</v>
      </c>
      <c r="N76" s="329" t="s">
        <v>84</v>
      </c>
      <c r="O76" s="399">
        <f t="shared" ref="O76:W83" si="19">C18-C76</f>
        <v>-9.7574999999999967</v>
      </c>
      <c r="P76" s="400">
        <f t="shared" si="19"/>
        <v>-12.552499999999998</v>
      </c>
      <c r="Q76" s="400">
        <f t="shared" si="19"/>
        <v>-11.77068616422947</v>
      </c>
      <c r="R76" s="400">
        <f t="shared" si="19"/>
        <v>-8.8507480314960638</v>
      </c>
      <c r="S76" s="400">
        <f t="shared" si="19"/>
        <v>-4.3171693742884116</v>
      </c>
      <c r="T76" s="400">
        <f t="shared" si="19"/>
        <v>-3.9299651399312019</v>
      </c>
      <c r="U76" s="400">
        <f t="shared" si="19"/>
        <v>-3.9299651399312019</v>
      </c>
      <c r="V76" s="400">
        <f t="shared" si="19"/>
        <v>-3.5457609055739923</v>
      </c>
      <c r="W76" s="401">
        <f t="shared" si="19"/>
        <v>-58.654294755450337</v>
      </c>
      <c r="Y76" s="310" t="s">
        <v>83</v>
      </c>
      <c r="Z76" s="329" t="s">
        <v>84</v>
      </c>
      <c r="AA76" s="402">
        <f t="shared" ref="AA76:AI83" si="20">(C18-C76)/C76</f>
        <v>-0.53258555755690185</v>
      </c>
      <c r="AB76" s="403">
        <f t="shared" si="20"/>
        <v>-0.68514273238360346</v>
      </c>
      <c r="AC76" s="403">
        <f t="shared" si="20"/>
        <v>-0.65629697040588075</v>
      </c>
      <c r="AD76" s="403">
        <f t="shared" si="20"/>
        <v>-0.49349027217708752</v>
      </c>
      <c r="AE76" s="403">
        <f t="shared" si="20"/>
        <v>-0.24600657440813789</v>
      </c>
      <c r="AF76" s="403">
        <f t="shared" si="20"/>
        <v>-0.23349564137194476</v>
      </c>
      <c r="AG76" s="403">
        <f t="shared" si="20"/>
        <v>-0.23349564137194476</v>
      </c>
      <c r="AH76" s="403">
        <f t="shared" si="20"/>
        <v>-0.22001494822375231</v>
      </c>
      <c r="AI76" s="404">
        <f t="shared" si="20"/>
        <v>-0.41944160610023196</v>
      </c>
    </row>
    <row r="77" spans="1:35" ht="14.25">
      <c r="A77" s="310" t="s">
        <v>85</v>
      </c>
      <c r="B77" s="311" t="s">
        <v>79</v>
      </c>
      <c r="C77" s="333">
        <v>8</v>
      </c>
      <c r="D77" s="333">
        <v>8</v>
      </c>
      <c r="E77" s="333">
        <v>8</v>
      </c>
      <c r="F77" s="333">
        <v>8</v>
      </c>
      <c r="G77" s="333">
        <v>8</v>
      </c>
      <c r="H77" s="333">
        <v>7</v>
      </c>
      <c r="I77" s="333">
        <v>7</v>
      </c>
      <c r="J77" s="333">
        <v>6</v>
      </c>
      <c r="K77" s="332">
        <v>60</v>
      </c>
      <c r="M77" s="310" t="s">
        <v>85</v>
      </c>
      <c r="N77" s="311" t="s">
        <v>79</v>
      </c>
      <c r="O77" s="386">
        <f t="shared" si="19"/>
        <v>-4</v>
      </c>
      <c r="P77" s="386">
        <f t="shared" si="19"/>
        <v>-5</v>
      </c>
      <c r="Q77" s="386">
        <f t="shared" si="19"/>
        <v>-5</v>
      </c>
      <c r="R77" s="386">
        <f t="shared" si="19"/>
        <v>-4</v>
      </c>
      <c r="S77" s="386">
        <f t="shared" si="19"/>
        <v>-4</v>
      </c>
      <c r="T77" s="386">
        <f t="shared" si="19"/>
        <v>-3</v>
      </c>
      <c r="U77" s="386">
        <f t="shared" si="19"/>
        <v>-3</v>
      </c>
      <c r="V77" s="386">
        <f t="shared" si="19"/>
        <v>-2</v>
      </c>
      <c r="W77" s="401">
        <f t="shared" si="19"/>
        <v>-30</v>
      </c>
      <c r="Y77" s="310" t="s">
        <v>85</v>
      </c>
      <c r="Z77" s="311" t="s">
        <v>79</v>
      </c>
      <c r="AA77" s="389">
        <f t="shared" si="20"/>
        <v>-0.5</v>
      </c>
      <c r="AB77" s="389">
        <f t="shared" si="20"/>
        <v>-0.625</v>
      </c>
      <c r="AC77" s="389">
        <f t="shared" si="20"/>
        <v>-0.625</v>
      </c>
      <c r="AD77" s="389">
        <f t="shared" si="20"/>
        <v>-0.5</v>
      </c>
      <c r="AE77" s="389">
        <f t="shared" si="20"/>
        <v>-0.5</v>
      </c>
      <c r="AF77" s="389">
        <f t="shared" si="20"/>
        <v>-0.42857142857142855</v>
      </c>
      <c r="AG77" s="389">
        <f t="shared" si="20"/>
        <v>-0.42857142857142855</v>
      </c>
      <c r="AH77" s="389">
        <f t="shared" si="20"/>
        <v>-0.33333333333333331</v>
      </c>
      <c r="AI77" s="404">
        <f t="shared" si="20"/>
        <v>-0.5</v>
      </c>
    </row>
    <row r="78" spans="1:35" ht="15" thickBot="1">
      <c r="A78" s="310" t="s">
        <v>86</v>
      </c>
      <c r="B78" s="334" t="s">
        <v>79</v>
      </c>
      <c r="C78" s="335">
        <v>8965.944159671033</v>
      </c>
      <c r="D78" s="335">
        <v>9173.031369181228</v>
      </c>
      <c r="E78" s="335">
        <v>9462.3073014899837</v>
      </c>
      <c r="F78" s="335">
        <v>9655.5274621092831</v>
      </c>
      <c r="G78" s="335">
        <v>9910.7949583958689</v>
      </c>
      <c r="H78" s="335">
        <v>10189.251128744025</v>
      </c>
      <c r="I78" s="335">
        <v>10576.386710766898</v>
      </c>
      <c r="J78" s="335">
        <v>10990.305636046782</v>
      </c>
      <c r="K78" s="337">
        <v>78923.548726405104</v>
      </c>
      <c r="M78" s="310" t="s">
        <v>86</v>
      </c>
      <c r="N78" s="334" t="s">
        <v>79</v>
      </c>
      <c r="O78" s="405">
        <f t="shared" si="19"/>
        <v>-2655.944159671033</v>
      </c>
      <c r="P78" s="405">
        <f t="shared" si="19"/>
        <v>-2307.031369181228</v>
      </c>
      <c r="Q78" s="405">
        <f t="shared" si="19"/>
        <v>-2123.5073014899835</v>
      </c>
      <c r="R78" s="405">
        <f t="shared" si="19"/>
        <v>-2674.9874621092831</v>
      </c>
      <c r="S78" s="405">
        <f t="shared" si="19"/>
        <v>-3142.1429583958688</v>
      </c>
      <c r="T78" s="405">
        <f t="shared" si="19"/>
        <v>-3564.1457787440249</v>
      </c>
      <c r="U78" s="405">
        <f t="shared" si="19"/>
        <v>-3960.5063807668976</v>
      </c>
      <c r="V78" s="405">
        <f t="shared" si="19"/>
        <v>-4354.3375626717816</v>
      </c>
      <c r="W78" s="406">
        <f t="shared" si="19"/>
        <v>-24782.602973030109</v>
      </c>
      <c r="Y78" s="310" t="s">
        <v>86</v>
      </c>
      <c r="Z78" s="334" t="s">
        <v>79</v>
      </c>
      <c r="AA78" s="407">
        <f t="shared" si="20"/>
        <v>-0.2962258198771206</v>
      </c>
      <c r="AB78" s="407">
        <f t="shared" si="20"/>
        <v>-0.25150152401442732</v>
      </c>
      <c r="AC78" s="407">
        <f t="shared" si="20"/>
        <v>-0.22441749499676522</v>
      </c>
      <c r="AD78" s="407">
        <f t="shared" si="20"/>
        <v>-0.27704208523113899</v>
      </c>
      <c r="AE78" s="407">
        <f t="shared" si="20"/>
        <v>-0.31704247455286338</v>
      </c>
      <c r="AF78" s="407">
        <f t="shared" si="20"/>
        <v>-0.34979467418263138</v>
      </c>
      <c r="AG78" s="407">
        <f t="shared" si="20"/>
        <v>-0.37446686558227404</v>
      </c>
      <c r="AH78" s="407">
        <f t="shared" si="20"/>
        <v>-0.3961980409707731</v>
      </c>
      <c r="AI78" s="408">
        <f t="shared" si="20"/>
        <v>-0.31400771218411649</v>
      </c>
    </row>
    <row r="79" spans="1:35" ht="15" thickTop="1">
      <c r="A79" s="310" t="s">
        <v>87</v>
      </c>
      <c r="B79" s="338" t="s">
        <v>79</v>
      </c>
      <c r="C79" s="339">
        <v>1759.3142239048134</v>
      </c>
      <c r="D79" s="339">
        <v>1950.5873445105462</v>
      </c>
      <c r="E79" s="339">
        <v>2009.3639805300161</v>
      </c>
      <c r="F79" s="339">
        <v>1977.4851270957274</v>
      </c>
      <c r="G79" s="339">
        <v>1913.7274202271497</v>
      </c>
      <c r="H79" s="339">
        <v>1851.9621416982152</v>
      </c>
      <c r="I79" s="339">
        <v>1833.0340724716061</v>
      </c>
      <c r="J79" s="339">
        <v>1753.3369388858841</v>
      </c>
      <c r="K79" s="328">
        <v>15048.811249323959</v>
      </c>
      <c r="M79" s="310" t="s">
        <v>87</v>
      </c>
      <c r="N79" s="338" t="s">
        <v>79</v>
      </c>
      <c r="O79" s="409">
        <f t="shared" si="19"/>
        <v>-99.314223904813389</v>
      </c>
      <c r="P79" s="410">
        <f t="shared" si="19"/>
        <v>306.41265548945375</v>
      </c>
      <c r="Q79" s="410">
        <f t="shared" si="19"/>
        <v>250.63601946998392</v>
      </c>
      <c r="R79" s="410">
        <f t="shared" si="19"/>
        <v>307.51487290427258</v>
      </c>
      <c r="S79" s="410">
        <f t="shared" si="19"/>
        <v>351.27257977285035</v>
      </c>
      <c r="T79" s="410">
        <f t="shared" si="19"/>
        <v>423.03785830178481</v>
      </c>
      <c r="U79" s="410">
        <f t="shared" si="19"/>
        <v>456.96592752839388</v>
      </c>
      <c r="V79" s="410">
        <f t="shared" si="19"/>
        <v>551.66306111411586</v>
      </c>
      <c r="W79" s="411">
        <f t="shared" si="19"/>
        <v>2548.1887506760413</v>
      </c>
      <c r="Y79" s="310" t="s">
        <v>87</v>
      </c>
      <c r="Z79" s="338" t="s">
        <v>79</v>
      </c>
      <c r="AA79" s="412">
        <f t="shared" si="20"/>
        <v>-5.645053200580883E-2</v>
      </c>
      <c r="AB79" s="413">
        <f t="shared" si="20"/>
        <v>0.15708738004056966</v>
      </c>
      <c r="AC79" s="413">
        <f t="shared" si="20"/>
        <v>0.12473400633163181</v>
      </c>
      <c r="AD79" s="413">
        <f t="shared" si="20"/>
        <v>0.15550805853893343</v>
      </c>
      <c r="AE79" s="413">
        <f t="shared" si="20"/>
        <v>0.18355413423044128</v>
      </c>
      <c r="AF79" s="413">
        <f t="shared" si="20"/>
        <v>0.22842683917602488</v>
      </c>
      <c r="AG79" s="413">
        <f t="shared" si="20"/>
        <v>0.24929483548128226</v>
      </c>
      <c r="AH79" s="413">
        <f t="shared" si="20"/>
        <v>0.31463607985391384</v>
      </c>
      <c r="AI79" s="414">
        <f t="shared" si="20"/>
        <v>0.16932824184305681</v>
      </c>
    </row>
    <row r="80" spans="1:35" ht="14.25">
      <c r="A80" s="310" t="s">
        <v>88</v>
      </c>
      <c r="B80" s="311" t="s">
        <v>79</v>
      </c>
      <c r="C80" s="312">
        <v>5168.6299357662192</v>
      </c>
      <c r="D80" s="312">
        <v>5095.4440246706818</v>
      </c>
      <c r="E80" s="312">
        <v>5307.9433209599674</v>
      </c>
      <c r="F80" s="312">
        <v>5538.0423350135552</v>
      </c>
      <c r="G80" s="312">
        <v>5840.0675381687197</v>
      </c>
      <c r="H80" s="312">
        <v>6145.2889870458093</v>
      </c>
      <c r="I80" s="312">
        <v>6525.3526382952914</v>
      </c>
      <c r="J80" s="312">
        <v>6972.9686971608971</v>
      </c>
      <c r="K80" s="314">
        <v>46593.737477081137</v>
      </c>
      <c r="M80" s="310" t="s">
        <v>88</v>
      </c>
      <c r="N80" s="311" t="s">
        <v>79</v>
      </c>
      <c r="O80" s="385">
        <f t="shared" si="19"/>
        <v>-2117.6299357662192</v>
      </c>
      <c r="P80" s="386">
        <f t="shared" si="19"/>
        <v>-2591.4440246706818</v>
      </c>
      <c r="Q80" s="386">
        <f t="shared" si="19"/>
        <v>-3007.9433209599674</v>
      </c>
      <c r="R80" s="386">
        <f t="shared" si="19"/>
        <v>-3288.0423350135552</v>
      </c>
      <c r="S80" s="386">
        <f t="shared" si="19"/>
        <v>-3590.0675381687197</v>
      </c>
      <c r="T80" s="386">
        <f t="shared" si="19"/>
        <v>-3945.2889870458093</v>
      </c>
      <c r="U80" s="386">
        <f t="shared" si="19"/>
        <v>-4355.3526382952914</v>
      </c>
      <c r="V80" s="386">
        <f t="shared" si="19"/>
        <v>-4822.9686971608971</v>
      </c>
      <c r="W80" s="387">
        <f t="shared" si="19"/>
        <v>-27718.737477081137</v>
      </c>
      <c r="Y80" s="310" t="s">
        <v>88</v>
      </c>
      <c r="Z80" s="311" t="s">
        <v>79</v>
      </c>
      <c r="AA80" s="388">
        <f t="shared" si="20"/>
        <v>-0.40970817452271185</v>
      </c>
      <c r="AB80" s="389">
        <f t="shared" si="20"/>
        <v>-0.5085806088976057</v>
      </c>
      <c r="AC80" s="389">
        <f t="shared" si="20"/>
        <v>-0.56668715905126998</v>
      </c>
      <c r="AD80" s="389">
        <f t="shared" si="20"/>
        <v>-0.5937192488084343</v>
      </c>
      <c r="AE80" s="389">
        <f t="shared" si="20"/>
        <v>-0.61473048294480226</v>
      </c>
      <c r="AF80" s="389">
        <f t="shared" si="20"/>
        <v>-0.64200218986648605</v>
      </c>
      <c r="AG80" s="389">
        <f t="shared" si="20"/>
        <v>-0.66745092253483185</v>
      </c>
      <c r="AH80" s="389">
        <f t="shared" si="20"/>
        <v>-0.69166647759721189</v>
      </c>
      <c r="AI80" s="390">
        <f t="shared" si="20"/>
        <v>-0.59490264095503453</v>
      </c>
    </row>
    <row r="81" spans="1:35" ht="14.25">
      <c r="A81" s="310" t="s">
        <v>89</v>
      </c>
      <c r="B81" s="311" t="s">
        <v>79</v>
      </c>
      <c r="C81" s="312">
        <v>538</v>
      </c>
      <c r="D81" s="312">
        <v>627</v>
      </c>
      <c r="E81" s="312">
        <v>645</v>
      </c>
      <c r="F81" s="312">
        <v>640</v>
      </c>
      <c r="G81" s="312">
        <v>657</v>
      </c>
      <c r="H81" s="312">
        <v>692</v>
      </c>
      <c r="I81" s="312">
        <v>718</v>
      </c>
      <c r="J81" s="312">
        <v>764</v>
      </c>
      <c r="K81" s="314">
        <v>5281</v>
      </c>
      <c r="M81" s="310" t="s">
        <v>89</v>
      </c>
      <c r="N81" s="311" t="s">
        <v>79</v>
      </c>
      <c r="O81" s="385">
        <f t="shared" si="19"/>
        <v>-103</v>
      </c>
      <c r="P81" s="386">
        <f t="shared" si="19"/>
        <v>-229</v>
      </c>
      <c r="Q81" s="386">
        <f t="shared" si="19"/>
        <v>-245</v>
      </c>
      <c r="R81" s="386">
        <f t="shared" si="19"/>
        <v>-251</v>
      </c>
      <c r="S81" s="386">
        <f t="shared" si="19"/>
        <v>-262</v>
      </c>
      <c r="T81" s="386">
        <f t="shared" si="19"/>
        <v>-307</v>
      </c>
      <c r="U81" s="386">
        <f t="shared" si="19"/>
        <v>-338</v>
      </c>
      <c r="V81" s="386">
        <f t="shared" si="19"/>
        <v>-374</v>
      </c>
      <c r="W81" s="387">
        <f t="shared" si="19"/>
        <v>-2109</v>
      </c>
      <c r="Y81" s="310" t="s">
        <v>89</v>
      </c>
      <c r="Z81" s="311" t="s">
        <v>79</v>
      </c>
      <c r="AA81" s="388">
        <f t="shared" si="20"/>
        <v>-0.19144981412639406</v>
      </c>
      <c r="AB81" s="389">
        <f t="shared" si="20"/>
        <v>-0.36523125996810207</v>
      </c>
      <c r="AC81" s="389">
        <f t="shared" si="20"/>
        <v>-0.37984496124031009</v>
      </c>
      <c r="AD81" s="389">
        <f t="shared" si="20"/>
        <v>-0.39218750000000002</v>
      </c>
      <c r="AE81" s="389">
        <f t="shared" si="20"/>
        <v>-0.39878234398782342</v>
      </c>
      <c r="AF81" s="389">
        <f t="shared" si="20"/>
        <v>-0.44364161849710981</v>
      </c>
      <c r="AG81" s="389">
        <f t="shared" si="20"/>
        <v>-0.47075208913649025</v>
      </c>
      <c r="AH81" s="389">
        <f t="shared" si="20"/>
        <v>-0.48952879581151831</v>
      </c>
      <c r="AI81" s="390">
        <f t="shared" si="20"/>
        <v>-0.39935618254118538</v>
      </c>
    </row>
    <row r="82" spans="1:35" ht="14.25">
      <c r="A82" s="310" t="s">
        <v>90</v>
      </c>
      <c r="B82" s="311" t="s">
        <v>79</v>
      </c>
      <c r="C82" s="312">
        <v>1500</v>
      </c>
      <c r="D82" s="312">
        <v>1500</v>
      </c>
      <c r="E82" s="312">
        <v>1500</v>
      </c>
      <c r="F82" s="312">
        <v>1500</v>
      </c>
      <c r="G82" s="312">
        <v>1500</v>
      </c>
      <c r="H82" s="312">
        <v>1500</v>
      </c>
      <c r="I82" s="312">
        <v>1500</v>
      </c>
      <c r="J82" s="312">
        <v>1500</v>
      </c>
      <c r="K82" s="314">
        <v>12000</v>
      </c>
      <c r="M82" s="310" t="s">
        <v>90</v>
      </c>
      <c r="N82" s="311" t="s">
        <v>79</v>
      </c>
      <c r="O82" s="385">
        <f t="shared" si="19"/>
        <v>-336</v>
      </c>
      <c r="P82" s="386">
        <f t="shared" si="19"/>
        <v>207</v>
      </c>
      <c r="Q82" s="386">
        <f t="shared" si="19"/>
        <v>882</v>
      </c>
      <c r="R82" s="386">
        <f t="shared" si="19"/>
        <v>556.54</v>
      </c>
      <c r="S82" s="386">
        <f t="shared" si="19"/>
        <v>358.65200000000004</v>
      </c>
      <c r="T82" s="386">
        <f t="shared" si="19"/>
        <v>265.10535000000004</v>
      </c>
      <c r="U82" s="386">
        <f t="shared" si="19"/>
        <v>275.88032999999996</v>
      </c>
      <c r="V82" s="386">
        <f t="shared" si="19"/>
        <v>290.96807337500013</v>
      </c>
      <c r="W82" s="387">
        <f t="shared" si="19"/>
        <v>2500.1457533749999</v>
      </c>
      <c r="Y82" s="310" t="s">
        <v>90</v>
      </c>
      <c r="Z82" s="311" t="s">
        <v>79</v>
      </c>
      <c r="AA82" s="388">
        <f t="shared" si="20"/>
        <v>-0.224</v>
      </c>
      <c r="AB82" s="389">
        <f t="shared" si="20"/>
        <v>0.13800000000000001</v>
      </c>
      <c r="AC82" s="389">
        <f t="shared" si="20"/>
        <v>0.58799999999999997</v>
      </c>
      <c r="AD82" s="389">
        <f t="shared" si="20"/>
        <v>0.37102666666666662</v>
      </c>
      <c r="AE82" s="389">
        <f t="shared" si="20"/>
        <v>0.23910133333333336</v>
      </c>
      <c r="AF82" s="389">
        <f t="shared" si="20"/>
        <v>0.17673690000000003</v>
      </c>
      <c r="AG82" s="389">
        <f t="shared" si="20"/>
        <v>0.18392021999999997</v>
      </c>
      <c r="AH82" s="389">
        <f t="shared" si="20"/>
        <v>0.19397871558333343</v>
      </c>
      <c r="AI82" s="390">
        <f t="shared" si="20"/>
        <v>0.20834547944791665</v>
      </c>
    </row>
    <row r="83" spans="1:35" ht="14.25">
      <c r="A83" s="310" t="s">
        <v>91</v>
      </c>
      <c r="B83" s="311" t="s">
        <v>92</v>
      </c>
      <c r="C83" s="333">
        <v>30</v>
      </c>
      <c r="D83" s="333">
        <v>30</v>
      </c>
      <c r="E83" s="333">
        <v>30</v>
      </c>
      <c r="F83" s="333">
        <v>30</v>
      </c>
      <c r="G83" s="333">
        <v>30</v>
      </c>
      <c r="H83" s="333">
        <v>30</v>
      </c>
      <c r="I83" s="333">
        <v>30</v>
      </c>
      <c r="J83" s="333">
        <v>30</v>
      </c>
      <c r="K83" s="333">
        <v>240</v>
      </c>
      <c r="M83" s="310" t="s">
        <v>91</v>
      </c>
      <c r="N83" s="311" t="s">
        <v>92</v>
      </c>
      <c r="O83" s="386">
        <f t="shared" si="19"/>
        <v>434</v>
      </c>
      <c r="P83" s="386">
        <f t="shared" si="19"/>
        <v>-21</v>
      </c>
      <c r="Q83" s="386">
        <f t="shared" si="19"/>
        <v>5</v>
      </c>
      <c r="R83" s="386">
        <f t="shared" si="19"/>
        <v>155</v>
      </c>
      <c r="S83" s="386">
        <f t="shared" si="19"/>
        <v>145</v>
      </c>
      <c r="T83" s="386">
        <f t="shared" si="19"/>
        <v>145</v>
      </c>
      <c r="U83" s="386">
        <f t="shared" si="19"/>
        <v>145</v>
      </c>
      <c r="V83" s="386">
        <f t="shared" si="19"/>
        <v>145</v>
      </c>
      <c r="W83" s="387">
        <f t="shared" si="19"/>
        <v>1153</v>
      </c>
      <c r="Y83" s="310" t="s">
        <v>91</v>
      </c>
      <c r="Z83" s="311" t="s">
        <v>92</v>
      </c>
      <c r="AA83" s="389">
        <f t="shared" si="20"/>
        <v>14.466666666666667</v>
      </c>
      <c r="AB83" s="389">
        <f t="shared" si="20"/>
        <v>-0.7</v>
      </c>
      <c r="AC83" s="389">
        <f t="shared" si="20"/>
        <v>0.16666666666666666</v>
      </c>
      <c r="AD83" s="389">
        <f t="shared" si="20"/>
        <v>5.166666666666667</v>
      </c>
      <c r="AE83" s="389">
        <f t="shared" si="20"/>
        <v>4.833333333333333</v>
      </c>
      <c r="AF83" s="389">
        <f t="shared" si="20"/>
        <v>4.833333333333333</v>
      </c>
      <c r="AG83" s="389">
        <f t="shared" si="20"/>
        <v>4.833333333333333</v>
      </c>
      <c r="AH83" s="389">
        <f t="shared" si="20"/>
        <v>4.833333333333333</v>
      </c>
      <c r="AI83" s="390">
        <f t="shared" si="20"/>
        <v>4.8041666666666663</v>
      </c>
    </row>
    <row r="84" spans="1:35">
      <c r="A84" s="310"/>
      <c r="B84" s="316"/>
      <c r="C84" s="316"/>
      <c r="D84" s="316"/>
      <c r="E84" s="316"/>
      <c r="F84" s="316"/>
      <c r="G84" s="316"/>
      <c r="H84" s="316"/>
      <c r="I84" s="316"/>
      <c r="J84" s="316"/>
      <c r="K84" s="356"/>
      <c r="M84" s="310"/>
      <c r="N84" s="316"/>
      <c r="O84" s="391"/>
      <c r="P84" s="391"/>
      <c r="Q84" s="391"/>
      <c r="R84" s="391"/>
      <c r="S84" s="391"/>
      <c r="T84" s="391"/>
      <c r="U84" s="391"/>
      <c r="V84" s="391"/>
      <c r="W84" s="392"/>
      <c r="Y84" s="310"/>
      <c r="Z84" s="316"/>
      <c r="AA84" s="393"/>
      <c r="AB84" s="393"/>
      <c r="AC84" s="393"/>
      <c r="AD84" s="393"/>
      <c r="AE84" s="393"/>
      <c r="AF84" s="393"/>
      <c r="AG84" s="393"/>
      <c r="AH84" s="393"/>
      <c r="AI84" s="394"/>
    </row>
    <row r="85" spans="1:35">
      <c r="A85" s="341" t="s">
        <v>93</v>
      </c>
      <c r="B85" s="323"/>
      <c r="C85" s="323"/>
      <c r="D85" s="323"/>
      <c r="E85" s="323"/>
      <c r="F85" s="323"/>
      <c r="G85" s="323"/>
      <c r="H85" s="323"/>
      <c r="I85" s="323"/>
      <c r="J85" s="323"/>
      <c r="K85" s="361"/>
      <c r="M85" s="341" t="s">
        <v>93</v>
      </c>
      <c r="N85" s="323"/>
      <c r="O85" s="395"/>
      <c r="P85" s="395"/>
      <c r="Q85" s="395"/>
      <c r="R85" s="395"/>
      <c r="S85" s="395"/>
      <c r="T85" s="395"/>
      <c r="U85" s="395"/>
      <c r="V85" s="395"/>
      <c r="W85" s="396"/>
      <c r="Y85" s="341" t="s">
        <v>93</v>
      </c>
      <c r="Z85" s="323"/>
      <c r="AA85" s="397"/>
      <c r="AB85" s="397"/>
      <c r="AC85" s="397"/>
      <c r="AD85" s="397"/>
      <c r="AE85" s="397"/>
      <c r="AF85" s="397"/>
      <c r="AG85" s="397"/>
      <c r="AH85" s="397"/>
      <c r="AI85" s="398"/>
    </row>
    <row r="86" spans="1:35">
      <c r="A86" s="310" t="s">
        <v>94</v>
      </c>
      <c r="B86" s="329" t="s">
        <v>84</v>
      </c>
      <c r="C86" s="330">
        <v>461.49452085633425</v>
      </c>
      <c r="D86" s="330">
        <v>465.41240863721885</v>
      </c>
      <c r="E86" s="330">
        <v>464.78378740877952</v>
      </c>
      <c r="F86" s="330">
        <v>464.22472181100454</v>
      </c>
      <c r="G86" s="330">
        <v>463.57312005930589</v>
      </c>
      <c r="H86" s="330">
        <v>462.92553298176119</v>
      </c>
      <c r="I86" s="330">
        <v>462.52474506613936</v>
      </c>
      <c r="J86" s="330">
        <v>461.95443325756145</v>
      </c>
      <c r="K86" s="314">
        <v>3706.8932700781052</v>
      </c>
      <c r="M86" s="310" t="s">
        <v>94</v>
      </c>
      <c r="N86" s="329" t="s">
        <v>84</v>
      </c>
      <c r="O86" s="399">
        <f t="shared" ref="O86:W92" si="21">C28-C86</f>
        <v>-17.912820856334292</v>
      </c>
      <c r="P86" s="400">
        <f t="shared" si="21"/>
        <v>21.594211362780527</v>
      </c>
      <c r="Q86" s="400">
        <f t="shared" si="21"/>
        <v>-15.535487408779545</v>
      </c>
      <c r="R86" s="400">
        <f t="shared" si="21"/>
        <v>-24.224721811004542</v>
      </c>
      <c r="S86" s="400">
        <f t="shared" si="21"/>
        <v>-23.573120059305893</v>
      </c>
      <c r="T86" s="400">
        <f t="shared" si="21"/>
        <v>-22.925532981761194</v>
      </c>
      <c r="U86" s="400">
        <f t="shared" si="21"/>
        <v>-52.52474506613936</v>
      </c>
      <c r="V86" s="400">
        <f t="shared" si="21"/>
        <v>-51.954433257561448</v>
      </c>
      <c r="W86" s="401">
        <f t="shared" si="21"/>
        <v>-187.05665007810603</v>
      </c>
      <c r="Y86" s="310" t="s">
        <v>94</v>
      </c>
      <c r="Z86" s="329" t="s">
        <v>84</v>
      </c>
      <c r="AA86" s="402">
        <f t="shared" ref="AA86:AI92" si="22">(C28-C86)/C86</f>
        <v>-3.8814807211786269E-2</v>
      </c>
      <c r="AB86" s="403">
        <f t="shared" si="22"/>
        <v>4.6398013808894495E-2</v>
      </c>
      <c r="AC86" s="403">
        <f t="shared" si="22"/>
        <v>-3.3425192163848032E-2</v>
      </c>
      <c r="AD86" s="403">
        <f t="shared" si="22"/>
        <v>-5.2183179121742092E-2</v>
      </c>
      <c r="AE86" s="403">
        <f t="shared" si="22"/>
        <v>-5.0850920899577039E-2</v>
      </c>
      <c r="AF86" s="403">
        <f t="shared" si="22"/>
        <v>-4.9523155126257504E-2</v>
      </c>
      <c r="AG86" s="403">
        <f t="shared" si="22"/>
        <v>-0.11356094052574098</v>
      </c>
      <c r="AH86" s="403">
        <f t="shared" si="22"/>
        <v>-0.11246657574253519</v>
      </c>
      <c r="AI86" s="404">
        <f t="shared" si="22"/>
        <v>-5.0461838647478705E-2</v>
      </c>
    </row>
    <row r="87" spans="1:35">
      <c r="A87" s="310" t="s">
        <v>95</v>
      </c>
      <c r="B87" s="329" t="s">
        <v>84</v>
      </c>
      <c r="C87" s="330">
        <v>30.649564690395366</v>
      </c>
      <c r="D87" s="330">
        <v>30.613516711129947</v>
      </c>
      <c r="E87" s="330">
        <v>30.612691350576032</v>
      </c>
      <c r="F87" s="330">
        <v>30.56549934572174</v>
      </c>
      <c r="G87" s="330">
        <v>30.633120673699885</v>
      </c>
      <c r="H87" s="330">
        <v>30.718411784080871</v>
      </c>
      <c r="I87" s="330">
        <v>30.579520072179683</v>
      </c>
      <c r="J87" s="330">
        <v>30.62664538487595</v>
      </c>
      <c r="K87" s="314">
        <v>244.9989700126595</v>
      </c>
      <c r="M87" s="310" t="s">
        <v>95</v>
      </c>
      <c r="N87" s="329" t="s">
        <v>84</v>
      </c>
      <c r="O87" s="399">
        <f t="shared" si="21"/>
        <v>-1.9991646903953679</v>
      </c>
      <c r="P87" s="400">
        <f t="shared" si="21"/>
        <v>-5.7808167111299582</v>
      </c>
      <c r="Q87" s="400">
        <f t="shared" si="21"/>
        <v>-1.7999096839093589</v>
      </c>
      <c r="R87" s="400">
        <f t="shared" si="21"/>
        <v>-4.6407176790550722</v>
      </c>
      <c r="S87" s="400">
        <f t="shared" si="21"/>
        <v>-4.7083390070332172</v>
      </c>
      <c r="T87" s="400">
        <f t="shared" si="21"/>
        <v>-4.7936301174142031</v>
      </c>
      <c r="U87" s="400">
        <f t="shared" si="21"/>
        <v>-4.6547384055130152</v>
      </c>
      <c r="V87" s="400">
        <f t="shared" si="21"/>
        <v>-4.7018637182092817</v>
      </c>
      <c r="W87" s="401">
        <f t="shared" si="21"/>
        <v>-33.079180012659521</v>
      </c>
      <c r="Y87" s="310" t="s">
        <v>95</v>
      </c>
      <c r="Z87" s="329" t="s">
        <v>84</v>
      </c>
      <c r="AA87" s="402">
        <f t="shared" si="22"/>
        <v>-6.522652803032615E-2</v>
      </c>
      <c r="AB87" s="403">
        <f t="shared" si="22"/>
        <v>-0.18883216736181982</v>
      </c>
      <c r="AC87" s="403">
        <f t="shared" si="22"/>
        <v>-5.8796192183719592E-2</v>
      </c>
      <c r="AD87" s="403">
        <f t="shared" si="22"/>
        <v>-0.15182862306827108</v>
      </c>
      <c r="AE87" s="403">
        <f t="shared" si="22"/>
        <v>-0.15370092577853386</v>
      </c>
      <c r="AF87" s="403">
        <f t="shared" si="22"/>
        <v>-0.15605071483215141</v>
      </c>
      <c r="AG87" s="403">
        <f t="shared" si="22"/>
        <v>-0.15221751010238235</v>
      </c>
      <c r="AH87" s="403">
        <f t="shared" si="22"/>
        <v>-0.15352199560619056</v>
      </c>
      <c r="AI87" s="404">
        <f t="shared" si="22"/>
        <v>-0.13501762889431848</v>
      </c>
    </row>
    <row r="88" spans="1:35">
      <c r="A88" s="310" t="s">
        <v>96</v>
      </c>
      <c r="B88" s="329" t="s">
        <v>84</v>
      </c>
      <c r="C88" s="330">
        <v>5.0007662084488924</v>
      </c>
      <c r="D88" s="330">
        <v>5.0007662084488924</v>
      </c>
      <c r="E88" s="330">
        <v>5.0007662084488924</v>
      </c>
      <c r="F88" s="330">
        <v>5.0007662084488924</v>
      </c>
      <c r="G88" s="330">
        <v>5.0007662084488924</v>
      </c>
      <c r="H88" s="330">
        <v>5.0007662084488924</v>
      </c>
      <c r="I88" s="330">
        <v>5.0007662084488924</v>
      </c>
      <c r="J88" s="330">
        <v>5.0007662084488924</v>
      </c>
      <c r="K88" s="314">
        <v>40.006129667591146</v>
      </c>
      <c r="M88" s="310" t="s">
        <v>96</v>
      </c>
      <c r="N88" s="329" t="s">
        <v>84</v>
      </c>
      <c r="O88" s="399">
        <f t="shared" si="21"/>
        <v>2.1762337915511072</v>
      </c>
      <c r="P88" s="400">
        <f t="shared" si="21"/>
        <v>0.40923379155110595</v>
      </c>
      <c r="Q88" s="400">
        <f t="shared" si="21"/>
        <v>-7.6620844889241368E-4</v>
      </c>
      <c r="R88" s="400">
        <f t="shared" si="21"/>
        <v>-7.6620844889241368E-4</v>
      </c>
      <c r="S88" s="400">
        <f t="shared" si="21"/>
        <v>-7.6620844889241368E-4</v>
      </c>
      <c r="T88" s="400">
        <f t="shared" si="21"/>
        <v>-7.6620844889241368E-4</v>
      </c>
      <c r="U88" s="400">
        <f t="shared" si="21"/>
        <v>-7.6620844889241368E-4</v>
      </c>
      <c r="V88" s="400">
        <f t="shared" si="21"/>
        <v>-7.6620844889241368E-4</v>
      </c>
      <c r="W88" s="401">
        <f t="shared" si="21"/>
        <v>2.5808703324088498</v>
      </c>
      <c r="Y88" s="310" t="s">
        <v>96</v>
      </c>
      <c r="Z88" s="329" t="s">
        <v>84</v>
      </c>
      <c r="AA88" s="402">
        <f t="shared" si="22"/>
        <v>0.43518007058084773</v>
      </c>
      <c r="AB88" s="403">
        <f t="shared" si="22"/>
        <v>8.1834217896389047E-2</v>
      </c>
      <c r="AC88" s="403">
        <f t="shared" si="22"/>
        <v>-1.5321821036102219E-4</v>
      </c>
      <c r="AD88" s="403">
        <f t="shared" si="22"/>
        <v>-1.5321821036102219E-4</v>
      </c>
      <c r="AE88" s="403">
        <f t="shared" si="22"/>
        <v>-1.5321821036102219E-4</v>
      </c>
      <c r="AF88" s="403">
        <f t="shared" si="22"/>
        <v>-1.5321821036102219E-4</v>
      </c>
      <c r="AG88" s="403">
        <f t="shared" si="22"/>
        <v>-1.5321821036102219E-4</v>
      </c>
      <c r="AH88" s="403">
        <f t="shared" si="22"/>
        <v>-1.5321821036102219E-4</v>
      </c>
      <c r="AI88" s="404">
        <f t="shared" si="22"/>
        <v>6.4511872401883594E-2</v>
      </c>
    </row>
    <row r="89" spans="1:35">
      <c r="A89" s="342" t="s">
        <v>97</v>
      </c>
      <c r="B89" s="343" t="s">
        <v>84</v>
      </c>
      <c r="C89" s="330">
        <v>47.446957628218186</v>
      </c>
      <c r="D89" s="330">
        <v>49.048890269538923</v>
      </c>
      <c r="E89" s="330">
        <v>49.001268559955548</v>
      </c>
      <c r="F89" s="330">
        <v>48.955399751003974</v>
      </c>
      <c r="G89" s="330">
        <v>48.911223136296734</v>
      </c>
      <c r="H89" s="330">
        <v>48.8686798265513</v>
      </c>
      <c r="I89" s="330">
        <v>48.828469217009562</v>
      </c>
      <c r="J89" s="330">
        <v>48.788266453823304</v>
      </c>
      <c r="K89" s="314">
        <v>389.84915484239752</v>
      </c>
      <c r="M89" s="342" t="s">
        <v>97</v>
      </c>
      <c r="N89" s="343" t="s">
        <v>84</v>
      </c>
      <c r="O89" s="399">
        <f t="shared" si="21"/>
        <v>10.190442371781806</v>
      </c>
      <c r="P89" s="400">
        <f t="shared" si="21"/>
        <v>26.515949730461209</v>
      </c>
      <c r="Q89" s="400">
        <f t="shared" si="21"/>
        <v>19.725160550456536</v>
      </c>
      <c r="R89" s="400">
        <f t="shared" si="21"/>
        <v>15.822356761296554</v>
      </c>
      <c r="S89" s="400">
        <f t="shared" si="21"/>
        <v>15.866533376003794</v>
      </c>
      <c r="T89" s="400">
        <f t="shared" si="21"/>
        <v>15.909076685749227</v>
      </c>
      <c r="U89" s="400">
        <f t="shared" si="21"/>
        <v>12.936822524106375</v>
      </c>
      <c r="V89" s="400">
        <f t="shared" si="21"/>
        <v>12.977025287292633</v>
      </c>
      <c r="W89" s="401">
        <f t="shared" si="21"/>
        <v>129.94336728714813</v>
      </c>
      <c r="Y89" s="342" t="s">
        <v>97</v>
      </c>
      <c r="Z89" s="343" t="s">
        <v>84</v>
      </c>
      <c r="AA89" s="402">
        <f t="shared" si="22"/>
        <v>0.21477546467007258</v>
      </c>
      <c r="AB89" s="403">
        <f t="shared" si="22"/>
        <v>0.5406024394180543</v>
      </c>
      <c r="AC89" s="403">
        <f t="shared" si="22"/>
        <v>0.40254387549828013</v>
      </c>
      <c r="AD89" s="403">
        <f t="shared" si="22"/>
        <v>0.32319941909926025</v>
      </c>
      <c r="AE89" s="403">
        <f t="shared" si="22"/>
        <v>0.32439453275968744</v>
      </c>
      <c r="AF89" s="403">
        <f t="shared" si="22"/>
        <v>0.32554750286308159</v>
      </c>
      <c r="AG89" s="403">
        <f t="shared" si="22"/>
        <v>0.26494425755210427</v>
      </c>
      <c r="AH89" s="403">
        <f t="shared" si="22"/>
        <v>0.26598660355302878</v>
      </c>
      <c r="AI89" s="404">
        <f t="shared" si="22"/>
        <v>0.33331704243319377</v>
      </c>
    </row>
    <row r="90" spans="1:35">
      <c r="A90" s="342" t="s">
        <v>98</v>
      </c>
      <c r="B90" s="343" t="s">
        <v>84</v>
      </c>
      <c r="C90" s="330">
        <v>0</v>
      </c>
      <c r="D90" s="330">
        <v>0</v>
      </c>
      <c r="E90" s="330">
        <v>0</v>
      </c>
      <c r="F90" s="330">
        <v>0</v>
      </c>
      <c r="G90" s="330">
        <v>0</v>
      </c>
      <c r="H90" s="330">
        <v>0</v>
      </c>
      <c r="I90" s="330">
        <v>0</v>
      </c>
      <c r="J90" s="330">
        <v>0</v>
      </c>
      <c r="K90" s="314">
        <v>0</v>
      </c>
      <c r="M90" s="342" t="s">
        <v>98</v>
      </c>
      <c r="N90" s="343" t="s">
        <v>84</v>
      </c>
      <c r="O90" s="399">
        <f t="shared" si="21"/>
        <v>25.035459999999997</v>
      </c>
      <c r="P90" s="400">
        <f t="shared" si="21"/>
        <v>24.313899999999997</v>
      </c>
      <c r="Q90" s="400">
        <f t="shared" si="21"/>
        <v>28.668839999999676</v>
      </c>
      <c r="R90" s="400">
        <f t="shared" si="21"/>
        <v>28.668839999999676</v>
      </c>
      <c r="S90" s="400">
        <f t="shared" si="21"/>
        <v>24.668839999999676</v>
      </c>
      <c r="T90" s="400">
        <f t="shared" si="21"/>
        <v>24.668839999999676</v>
      </c>
      <c r="U90" s="400">
        <f t="shared" si="21"/>
        <v>24.668839999999676</v>
      </c>
      <c r="V90" s="400">
        <f t="shared" si="21"/>
        <v>24.668839999999676</v>
      </c>
      <c r="W90" s="401">
        <f t="shared" si="21"/>
        <v>205.36239999999805</v>
      </c>
      <c r="Y90" s="342" t="s">
        <v>98</v>
      </c>
      <c r="Z90" s="343" t="s">
        <v>84</v>
      </c>
      <c r="AA90" s="402" t="e">
        <f t="shared" si="22"/>
        <v>#DIV/0!</v>
      </c>
      <c r="AB90" s="403" t="e">
        <f t="shared" si="22"/>
        <v>#DIV/0!</v>
      </c>
      <c r="AC90" s="403" t="e">
        <f t="shared" si="22"/>
        <v>#DIV/0!</v>
      </c>
      <c r="AD90" s="403" t="e">
        <f t="shared" si="22"/>
        <v>#DIV/0!</v>
      </c>
      <c r="AE90" s="403" t="e">
        <f t="shared" si="22"/>
        <v>#DIV/0!</v>
      </c>
      <c r="AF90" s="403" t="e">
        <f t="shared" si="22"/>
        <v>#DIV/0!</v>
      </c>
      <c r="AG90" s="403" t="e">
        <f t="shared" si="22"/>
        <v>#DIV/0!</v>
      </c>
      <c r="AH90" s="403" t="e">
        <f t="shared" si="22"/>
        <v>#DIV/0!</v>
      </c>
      <c r="AI90" s="404" t="e">
        <f t="shared" si="22"/>
        <v>#DIV/0!</v>
      </c>
    </row>
    <row r="91" spans="1:35" ht="14.25">
      <c r="A91" s="310" t="s">
        <v>99</v>
      </c>
      <c r="B91" s="338" t="s">
        <v>79</v>
      </c>
      <c r="C91" s="312">
        <v>16711.916920088039</v>
      </c>
      <c r="D91" s="312">
        <v>16890.356589483723</v>
      </c>
      <c r="E91" s="312">
        <v>16868.324668397792</v>
      </c>
      <c r="F91" s="312">
        <v>16847.10371711386</v>
      </c>
      <c r="G91" s="312">
        <v>16826.665650156818</v>
      </c>
      <c r="H91" s="312">
        <v>16806.983222725183</v>
      </c>
      <c r="I91" s="312">
        <v>16788.380006167208</v>
      </c>
      <c r="J91" s="312">
        <v>16769.780419682284</v>
      </c>
      <c r="K91" s="314">
        <v>134509.51119381492</v>
      </c>
      <c r="M91" s="310" t="s">
        <v>99</v>
      </c>
      <c r="N91" s="338" t="s">
        <v>79</v>
      </c>
      <c r="O91" s="385">
        <f t="shared" si="21"/>
        <v>-2123.9169200880388</v>
      </c>
      <c r="P91" s="386">
        <f t="shared" si="21"/>
        <v>-801.35658948372293</v>
      </c>
      <c r="Q91" s="386">
        <f t="shared" si="21"/>
        <v>-2087.2601530341799</v>
      </c>
      <c r="R91" s="386">
        <f t="shared" si="21"/>
        <v>-2244.592233622865</v>
      </c>
      <c r="S91" s="386">
        <f t="shared" si="21"/>
        <v>-2224.1541666658231</v>
      </c>
      <c r="T91" s="386">
        <f t="shared" si="21"/>
        <v>-2204.4717392341881</v>
      </c>
      <c r="U91" s="386">
        <f t="shared" si="21"/>
        <v>-3046.1281909806967</v>
      </c>
      <c r="V91" s="386">
        <f t="shared" si="21"/>
        <v>-3027.528604495772</v>
      </c>
      <c r="W91" s="401">
        <f t="shared" si="21"/>
        <v>-17759.408597605317</v>
      </c>
      <c r="Y91" s="310" t="s">
        <v>99</v>
      </c>
      <c r="Z91" s="338" t="s">
        <v>79</v>
      </c>
      <c r="AA91" s="388">
        <f t="shared" si="22"/>
        <v>-0.1270899640205278</v>
      </c>
      <c r="AB91" s="389">
        <f t="shared" si="22"/>
        <v>-4.7444622334537549E-2</v>
      </c>
      <c r="AC91" s="389">
        <f t="shared" si="22"/>
        <v>-0.12373843840844419</v>
      </c>
      <c r="AD91" s="389">
        <f t="shared" si="22"/>
        <v>-0.13323312251842626</v>
      </c>
      <c r="AE91" s="389">
        <f t="shared" si="22"/>
        <v>-0.1321803269232425</v>
      </c>
      <c r="AF91" s="389">
        <f t="shared" si="22"/>
        <v>-0.13116403521206957</v>
      </c>
      <c r="AG91" s="389">
        <f t="shared" si="22"/>
        <v>-0.18144265199272963</v>
      </c>
      <c r="AH91" s="389">
        <f t="shared" si="22"/>
        <v>-0.18053477915205349</v>
      </c>
      <c r="AI91" s="404">
        <f t="shared" si="22"/>
        <v>-0.1320308760323704</v>
      </c>
    </row>
    <row r="92" spans="1:35" ht="14.25">
      <c r="A92" s="344" t="s">
        <v>100</v>
      </c>
      <c r="B92" s="338" t="s">
        <v>79</v>
      </c>
      <c r="C92" s="312">
        <v>31622.043344678845</v>
      </c>
      <c r="D92" s="312">
        <v>31876.371149239108</v>
      </c>
      <c r="E92" s="312">
        <v>31580.595122338171</v>
      </c>
      <c r="F92" s="312">
        <v>31248.2917264717</v>
      </c>
      <c r="G92" s="312">
        <v>30876.688894906252</v>
      </c>
      <c r="H92" s="312">
        <v>30572.700280589972</v>
      </c>
      <c r="I92" s="312">
        <v>30488.583233410769</v>
      </c>
      <c r="J92" s="312">
        <v>30020.184787510487</v>
      </c>
      <c r="K92" s="314">
        <v>248285.4585391453</v>
      </c>
      <c r="M92" s="344" t="s">
        <v>100</v>
      </c>
      <c r="N92" s="338" t="s">
        <v>79</v>
      </c>
      <c r="O92" s="385">
        <f t="shared" si="21"/>
        <v>-2042.9830148927613</v>
      </c>
      <c r="P92" s="386">
        <f t="shared" si="21"/>
        <v>-584.37114923910849</v>
      </c>
      <c r="Q92" s="386">
        <f t="shared" si="21"/>
        <v>624.40487766182923</v>
      </c>
      <c r="R92" s="386">
        <f t="shared" si="21"/>
        <v>688.7082735283002</v>
      </c>
      <c r="S92" s="386">
        <f t="shared" si="21"/>
        <v>1060.3111050937478</v>
      </c>
      <c r="T92" s="386">
        <f t="shared" si="21"/>
        <v>1365.299719410028</v>
      </c>
      <c r="U92" s="386">
        <f t="shared" si="21"/>
        <v>159.41676658923097</v>
      </c>
      <c r="V92" s="386">
        <f t="shared" si="21"/>
        <v>627.81521248951321</v>
      </c>
      <c r="W92" s="401">
        <f t="shared" si="21"/>
        <v>1898.6017906407942</v>
      </c>
      <c r="Y92" s="344" t="s">
        <v>100</v>
      </c>
      <c r="Z92" s="338" t="s">
        <v>79</v>
      </c>
      <c r="AA92" s="388">
        <f t="shared" si="22"/>
        <v>-6.4606293547331481E-2</v>
      </c>
      <c r="AB92" s="389">
        <f t="shared" si="22"/>
        <v>-1.8332423929411347E-2</v>
      </c>
      <c r="AC92" s="389">
        <f t="shared" si="22"/>
        <v>1.9771789456246303E-2</v>
      </c>
      <c r="AD92" s="389">
        <f t="shared" si="22"/>
        <v>2.2039869556929007E-2</v>
      </c>
      <c r="AE92" s="389">
        <f t="shared" si="22"/>
        <v>3.4340181640029027E-2</v>
      </c>
      <c r="AF92" s="389">
        <f t="shared" si="22"/>
        <v>4.4657478956048609E-2</v>
      </c>
      <c r="AG92" s="389">
        <f t="shared" si="22"/>
        <v>5.2287364541929544E-3</v>
      </c>
      <c r="AH92" s="389">
        <f t="shared" si="22"/>
        <v>2.0913102865066563E-2</v>
      </c>
      <c r="AI92" s="404">
        <f t="shared" si="22"/>
        <v>7.6468505316893377E-3</v>
      </c>
    </row>
    <row r="93" spans="1:35">
      <c r="C93" s="379">
        <v>0</v>
      </c>
      <c r="D93" s="379">
        <v>0</v>
      </c>
      <c r="E93" s="415">
        <v>0</v>
      </c>
      <c r="F93" s="379">
        <v>0</v>
      </c>
      <c r="G93" s="379">
        <v>0</v>
      </c>
      <c r="H93" s="379">
        <v>0</v>
      </c>
      <c r="I93" s="379">
        <v>0</v>
      </c>
      <c r="J93" s="379">
        <v>0</v>
      </c>
      <c r="K93" s="379">
        <v>0</v>
      </c>
    </row>
  </sheetData>
  <mergeCells count="14">
    <mergeCell ref="C68:K68"/>
    <mergeCell ref="Z38:AB39"/>
    <mergeCell ref="AC38:AC39"/>
    <mergeCell ref="AD38:AH39"/>
    <mergeCell ref="O67:Q68"/>
    <mergeCell ref="R67:V68"/>
    <mergeCell ref="AA67:AC68"/>
    <mergeCell ref="AD67:AH68"/>
    <mergeCell ref="R38:V39"/>
    <mergeCell ref="C9:C10"/>
    <mergeCell ref="D9:J10"/>
    <mergeCell ref="C38:J39"/>
    <mergeCell ref="N38:P39"/>
    <mergeCell ref="Q38:Q39"/>
  </mergeCells>
  <dataValidations count="1">
    <dataValidation type="list" allowBlank="1" showInputMessage="1" showErrorMessage="1" sqref="A1:B1">
      <formula1>A927:A932</formula1>
    </dataValidation>
  </dataValidations>
  <pageMargins left="0.70866141732283472" right="0.70866141732283472" top="0.74803149606299213" bottom="0.74803149606299213" header="0.31496062992125984" footer="0.31496062992125984"/>
  <pageSetup paperSize="8" scale="4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  <pageSetUpPr fitToPage="1"/>
  </sheetPr>
  <dimension ref="A1:AC83"/>
  <sheetViews>
    <sheetView topLeftCell="A58" zoomScaleNormal="100" workbookViewId="0">
      <selection activeCell="B29" sqref="B29"/>
    </sheetView>
  </sheetViews>
  <sheetFormatPr defaultRowHeight="12.75"/>
  <cols>
    <col min="1" max="1" width="32.28515625" customWidth="1"/>
    <col min="2" max="2" width="14.5703125" bestFit="1" customWidth="1"/>
    <col min="3" max="4" width="15.5703125" bestFit="1" customWidth="1"/>
    <col min="5" max="9" width="14.5703125" bestFit="1" customWidth="1"/>
    <col min="11" max="11" width="30.42578125" customWidth="1"/>
    <col min="12" max="19" width="13.140625" bestFit="1" customWidth="1"/>
    <col min="21" max="21" width="31" customWidth="1"/>
    <col min="22" max="29" width="11.28515625" customWidth="1"/>
  </cols>
  <sheetData>
    <row r="1" spans="1:29" s="3" customFormat="1" ht="24.75">
      <c r="A1" s="1" t="str">
        <f>'[6]Universal data'!A1</f>
        <v>Regulatory Reporting Pack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s="3" customFormat="1" ht="24.75">
      <c r="A2" s="4" t="str">
        <f>'[6]Universal data'!A2</f>
        <v>Northern Gas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s="3" customFormat="1" ht="24.75">
      <c r="A3" s="5" t="str">
        <f>+'[6]Universal data'!A3</f>
        <v>2014/15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s="7" customFormat="1">
      <c r="D4" s="8"/>
      <c r="O4" s="8"/>
    </row>
    <row r="5" spans="1:29" s="7" customFormat="1" ht="15">
      <c r="A5" s="416" t="s">
        <v>109</v>
      </c>
      <c r="D5" s="8"/>
      <c r="O5" s="8"/>
    </row>
    <row r="6" spans="1:29" s="7" customFormat="1">
      <c r="D6" s="8"/>
      <c r="O6" s="8"/>
    </row>
    <row r="7" spans="1:29" s="7" customFormat="1" ht="15.75">
      <c r="A7" s="8" t="s">
        <v>110</v>
      </c>
      <c r="D7" s="8"/>
      <c r="F7" s="417"/>
      <c r="O7" s="8"/>
    </row>
    <row r="8" spans="1:29" s="7" customFormat="1">
      <c r="D8" s="8"/>
      <c r="O8" s="8"/>
    </row>
    <row r="9" spans="1:29" s="7" customFormat="1" ht="12.75" customHeight="1">
      <c r="A9" s="10"/>
      <c r="B9" s="478" t="s">
        <v>75</v>
      </c>
      <c r="C9" s="479" t="s">
        <v>3</v>
      </c>
      <c r="D9" s="479"/>
      <c r="E9" s="479"/>
      <c r="F9" s="479"/>
      <c r="G9" s="479"/>
      <c r="H9" s="479"/>
      <c r="I9" s="480"/>
      <c r="O9" s="8"/>
    </row>
    <row r="10" spans="1:29" s="7" customFormat="1">
      <c r="A10" s="12"/>
      <c r="B10" s="478"/>
      <c r="C10" s="481"/>
      <c r="D10" s="481"/>
      <c r="E10" s="481"/>
      <c r="F10" s="481"/>
      <c r="G10" s="481"/>
      <c r="H10" s="481"/>
      <c r="I10" s="482"/>
      <c r="O10" s="8"/>
    </row>
    <row r="11" spans="1:29" s="7" customFormat="1">
      <c r="A11" s="14"/>
      <c r="B11" s="298">
        <v>2014</v>
      </c>
      <c r="C11" s="299">
        <v>2015</v>
      </c>
      <c r="D11" s="299">
        <v>2016</v>
      </c>
      <c r="E11" s="300">
        <v>2017</v>
      </c>
      <c r="F11" s="299">
        <v>2018</v>
      </c>
      <c r="G11" s="300">
        <v>2019</v>
      </c>
      <c r="H11" s="299">
        <v>2020</v>
      </c>
      <c r="I11" s="301">
        <v>2021</v>
      </c>
      <c r="O11" s="8"/>
    </row>
    <row r="12" spans="1:29" s="7" customFormat="1">
      <c r="A12" s="418" t="s">
        <v>111</v>
      </c>
      <c r="B12" s="314">
        <f t="shared" ref="B12:B13" si="0">+B22</f>
        <v>347940.87344474276</v>
      </c>
      <c r="C12" s="314">
        <f>+B14</f>
        <v>304821.81800000009</v>
      </c>
      <c r="D12" s="314">
        <f t="shared" ref="D12:I12" si="1">C14</f>
        <v>263608.68830978486</v>
      </c>
      <c r="E12" s="314">
        <f t="shared" si="1"/>
        <v>237396.38816216929</v>
      </c>
      <c r="F12" s="314">
        <f t="shared" si="1"/>
        <v>213211.68772477927</v>
      </c>
      <c r="G12" s="314">
        <f t="shared" si="1"/>
        <v>190897.74610376899</v>
      </c>
      <c r="H12" s="314">
        <f t="shared" si="1"/>
        <v>170309.85451690143</v>
      </c>
      <c r="I12" s="314">
        <f t="shared" si="1"/>
        <v>151314.49783847778</v>
      </c>
      <c r="O12" s="8"/>
    </row>
    <row r="13" spans="1:29" s="7" customFormat="1">
      <c r="A13" s="418" t="s">
        <v>112</v>
      </c>
      <c r="B13" s="314">
        <f t="shared" si="0"/>
        <v>43119.055444742698</v>
      </c>
      <c r="C13" s="313">
        <f>'[6]5.7 Mains Decommissiond '!H9</f>
        <v>41213.129690215217</v>
      </c>
      <c r="D13" s="313">
        <v>26212.30014761557</v>
      </c>
      <c r="E13" s="313">
        <v>24184.700437390013</v>
      </c>
      <c r="F13" s="313">
        <v>22313.941621010268</v>
      </c>
      <c r="G13" s="313">
        <v>20587.891586867572</v>
      </c>
      <c r="H13" s="313">
        <v>18995.356678423635</v>
      </c>
      <c r="I13" s="313">
        <v>17526.009101907865</v>
      </c>
      <c r="O13" s="8"/>
    </row>
    <row r="14" spans="1:29" s="7" customFormat="1">
      <c r="A14" s="418" t="s">
        <v>113</v>
      </c>
      <c r="B14" s="314">
        <f>B12-B13</f>
        <v>304821.81800000009</v>
      </c>
      <c r="C14" s="314">
        <f t="shared" ref="C14:I14" si="2">C12-C13</f>
        <v>263608.68830978486</v>
      </c>
      <c r="D14" s="314">
        <f t="shared" si="2"/>
        <v>237396.38816216929</v>
      </c>
      <c r="E14" s="314">
        <f t="shared" si="2"/>
        <v>213211.68772477927</v>
      </c>
      <c r="F14" s="314">
        <f t="shared" si="2"/>
        <v>190897.74610376899</v>
      </c>
      <c r="G14" s="314">
        <f t="shared" si="2"/>
        <v>170309.85451690143</v>
      </c>
      <c r="H14" s="314">
        <f t="shared" si="2"/>
        <v>151314.49783847778</v>
      </c>
      <c r="I14" s="314">
        <f t="shared" si="2"/>
        <v>133788.48873656991</v>
      </c>
      <c r="O14" s="8"/>
    </row>
    <row r="15" spans="1:29">
      <c r="A15" s="418" t="s">
        <v>114</v>
      </c>
      <c r="B15" s="314">
        <f>B13</f>
        <v>43119.055444742698</v>
      </c>
      <c r="C15" s="314">
        <f t="shared" ref="C15:I15" si="3">B15+C13</f>
        <v>84332.185134957923</v>
      </c>
      <c r="D15" s="314">
        <f t="shared" si="3"/>
        <v>110544.4852825735</v>
      </c>
      <c r="E15" s="314">
        <f t="shared" si="3"/>
        <v>134729.18571996351</v>
      </c>
      <c r="F15" s="314">
        <f t="shared" si="3"/>
        <v>157043.12734097379</v>
      </c>
      <c r="G15" s="314">
        <f t="shared" si="3"/>
        <v>177631.01892784136</v>
      </c>
      <c r="H15" s="314">
        <f t="shared" si="3"/>
        <v>196626.37560626501</v>
      </c>
      <c r="I15" s="314">
        <f t="shared" si="3"/>
        <v>214152.38470817287</v>
      </c>
    </row>
    <row r="17" spans="1:29" s="7" customFormat="1" ht="15.75">
      <c r="A17" s="8" t="s">
        <v>115</v>
      </c>
      <c r="D17" s="8"/>
      <c r="F17" s="417"/>
      <c r="K17" s="8" t="s">
        <v>48</v>
      </c>
      <c r="N17" s="8"/>
      <c r="P17" s="417"/>
      <c r="U17" s="8" t="s">
        <v>49</v>
      </c>
      <c r="X17" s="8"/>
      <c r="Z17" s="417"/>
    </row>
    <row r="18" spans="1:29" s="7" customFormat="1">
      <c r="D18" s="8"/>
      <c r="N18" s="8"/>
      <c r="X18" s="8"/>
    </row>
    <row r="19" spans="1:29" s="7" customFormat="1" ht="12.75" customHeight="1">
      <c r="A19" s="10"/>
      <c r="B19" s="478" t="s">
        <v>75</v>
      </c>
      <c r="C19" s="479" t="s">
        <v>3</v>
      </c>
      <c r="D19" s="479"/>
      <c r="E19" s="479"/>
      <c r="F19" s="479"/>
      <c r="G19" s="479"/>
      <c r="H19" s="479"/>
      <c r="I19" s="480"/>
      <c r="K19" s="10"/>
      <c r="L19" s="478" t="s">
        <v>75</v>
      </c>
      <c r="M19" s="479" t="s">
        <v>3</v>
      </c>
      <c r="N19" s="479"/>
      <c r="O19" s="479"/>
      <c r="P19" s="479"/>
      <c r="Q19" s="479"/>
      <c r="R19" s="479"/>
      <c r="S19" s="480"/>
      <c r="U19" s="10"/>
      <c r="V19" s="478" t="s">
        <v>75</v>
      </c>
      <c r="W19" s="479" t="s">
        <v>3</v>
      </c>
      <c r="X19" s="479"/>
      <c r="Y19" s="479"/>
      <c r="Z19" s="479"/>
      <c r="AA19" s="479"/>
      <c r="AB19" s="479"/>
      <c r="AC19" s="480"/>
    </row>
    <row r="20" spans="1:29" s="7" customFormat="1">
      <c r="A20" s="12"/>
      <c r="B20" s="478"/>
      <c r="C20" s="481"/>
      <c r="D20" s="481"/>
      <c r="E20" s="481"/>
      <c r="F20" s="481"/>
      <c r="G20" s="481"/>
      <c r="H20" s="481"/>
      <c r="I20" s="482"/>
      <c r="K20" s="12"/>
      <c r="L20" s="478"/>
      <c r="M20" s="481"/>
      <c r="N20" s="481"/>
      <c r="O20" s="481"/>
      <c r="P20" s="481"/>
      <c r="Q20" s="481"/>
      <c r="R20" s="481"/>
      <c r="S20" s="482"/>
      <c r="U20" s="12"/>
      <c r="V20" s="478"/>
      <c r="W20" s="481"/>
      <c r="X20" s="481"/>
      <c r="Y20" s="481"/>
      <c r="Z20" s="481"/>
      <c r="AA20" s="481"/>
      <c r="AB20" s="481"/>
      <c r="AC20" s="482"/>
    </row>
    <row r="21" spans="1:29" s="7" customFormat="1">
      <c r="A21" s="14"/>
      <c r="B21" s="298">
        <v>2014</v>
      </c>
      <c r="C21" s="299">
        <v>2015</v>
      </c>
      <c r="D21" s="299">
        <v>2016</v>
      </c>
      <c r="E21" s="300">
        <v>2017</v>
      </c>
      <c r="F21" s="299">
        <v>2018</v>
      </c>
      <c r="G21" s="300">
        <v>2019</v>
      </c>
      <c r="H21" s="299">
        <v>2020</v>
      </c>
      <c r="I21" s="301">
        <v>2021</v>
      </c>
      <c r="K21" s="14"/>
      <c r="L21" s="298">
        <v>2014</v>
      </c>
      <c r="M21" s="299">
        <v>2015</v>
      </c>
      <c r="N21" s="299">
        <v>2016</v>
      </c>
      <c r="O21" s="300">
        <v>2017</v>
      </c>
      <c r="P21" s="299">
        <v>2018</v>
      </c>
      <c r="Q21" s="300">
        <v>2019</v>
      </c>
      <c r="R21" s="299">
        <v>2020</v>
      </c>
      <c r="S21" s="301">
        <v>2021</v>
      </c>
      <c r="U21" s="14"/>
      <c r="V21" s="298">
        <v>2014</v>
      </c>
      <c r="W21" s="299">
        <v>2015</v>
      </c>
      <c r="X21" s="299">
        <v>2016</v>
      </c>
      <c r="Y21" s="300">
        <v>2017</v>
      </c>
      <c r="Z21" s="299">
        <v>2018</v>
      </c>
      <c r="AA21" s="300">
        <v>2019</v>
      </c>
      <c r="AB21" s="299">
        <v>2020</v>
      </c>
      <c r="AC21" s="301">
        <v>2021</v>
      </c>
    </row>
    <row r="22" spans="1:29" s="7" customFormat="1">
      <c r="A22" s="418" t="s">
        <v>111</v>
      </c>
      <c r="B22" s="314">
        <v>347940.87344474276</v>
      </c>
      <c r="C22" s="314">
        <v>304821.81800000009</v>
      </c>
      <c r="D22" s="314">
        <v>281644.81800000009</v>
      </c>
      <c r="E22" s="314">
        <v>267450.81800000009</v>
      </c>
      <c r="F22" s="314">
        <v>255765.81800000009</v>
      </c>
      <c r="G22" s="314">
        <v>244957.81800000009</v>
      </c>
      <c r="H22" s="314">
        <v>234905.81800000009</v>
      </c>
      <c r="I22" s="314">
        <v>226027.81800000009</v>
      </c>
      <c r="K22" s="418"/>
      <c r="L22" s="314"/>
      <c r="M22" s="314"/>
      <c r="N22" s="314"/>
      <c r="O22" s="314"/>
      <c r="P22" s="314"/>
      <c r="Q22" s="314"/>
      <c r="R22" s="314"/>
      <c r="S22" s="314"/>
      <c r="U22" s="418"/>
      <c r="V22" s="314"/>
      <c r="W22" s="314"/>
      <c r="X22" s="314"/>
      <c r="Y22" s="314"/>
      <c r="Z22" s="314"/>
      <c r="AA22" s="314"/>
      <c r="AB22" s="314"/>
      <c r="AC22" s="314"/>
    </row>
    <row r="23" spans="1:29" s="7" customFormat="1">
      <c r="A23" s="418" t="s">
        <v>112</v>
      </c>
      <c r="B23" s="314">
        <v>43119.055444742698</v>
      </c>
      <c r="C23" s="314">
        <v>23177</v>
      </c>
      <c r="D23" s="314">
        <v>14194</v>
      </c>
      <c r="E23" s="314">
        <v>11685</v>
      </c>
      <c r="F23" s="314">
        <v>10808</v>
      </c>
      <c r="G23" s="314">
        <v>10052</v>
      </c>
      <c r="H23" s="314">
        <v>8878</v>
      </c>
      <c r="I23" s="314">
        <v>8737</v>
      </c>
      <c r="K23" s="418" t="s">
        <v>112</v>
      </c>
      <c r="L23" s="314">
        <f t="shared" ref="L23:S23" si="4">B13-B23</f>
        <v>0</v>
      </c>
      <c r="M23" s="314">
        <f t="shared" si="4"/>
        <v>18036.129690215217</v>
      </c>
      <c r="N23" s="314">
        <f t="shared" si="4"/>
        <v>12018.30014761557</v>
      </c>
      <c r="O23" s="314">
        <f t="shared" si="4"/>
        <v>12499.700437390013</v>
      </c>
      <c r="P23" s="314">
        <f t="shared" si="4"/>
        <v>11505.941621010268</v>
      </c>
      <c r="Q23" s="314">
        <f t="shared" si="4"/>
        <v>10535.891586867572</v>
      </c>
      <c r="R23" s="314">
        <f t="shared" si="4"/>
        <v>10117.356678423635</v>
      </c>
      <c r="S23" s="314">
        <f t="shared" si="4"/>
        <v>8789.0091019078645</v>
      </c>
      <c r="U23" s="418" t="s">
        <v>112</v>
      </c>
      <c r="V23" s="419">
        <f t="shared" ref="V23:AC23" si="5">(B13-B23)/B23</f>
        <v>0</v>
      </c>
      <c r="W23" s="419">
        <f t="shared" si="5"/>
        <v>0.77819086552251016</v>
      </c>
      <c r="X23" s="419">
        <f t="shared" si="5"/>
        <v>0.84671693304322737</v>
      </c>
      <c r="Y23" s="419">
        <f t="shared" si="5"/>
        <v>1.0697219030714602</v>
      </c>
      <c r="Z23" s="419">
        <f t="shared" si="5"/>
        <v>1.0645763898047991</v>
      </c>
      <c r="AA23" s="419">
        <f t="shared" si="5"/>
        <v>1.0481388367357314</v>
      </c>
      <c r="AB23" s="419">
        <f t="shared" si="5"/>
        <v>1.1395986346501055</v>
      </c>
      <c r="AC23" s="419">
        <f t="shared" si="5"/>
        <v>1.0059527414338862</v>
      </c>
    </row>
    <row r="24" spans="1:29" s="7" customFormat="1">
      <c r="A24" s="418" t="s">
        <v>113</v>
      </c>
      <c r="B24" s="314">
        <f>B22-B23</f>
        <v>304821.81800000009</v>
      </c>
      <c r="C24" s="314">
        <f t="shared" ref="C24:I24" si="6">C22-C23</f>
        <v>281644.81800000009</v>
      </c>
      <c r="D24" s="314">
        <f t="shared" si="6"/>
        <v>267450.81800000009</v>
      </c>
      <c r="E24" s="314">
        <f t="shared" si="6"/>
        <v>255765.81800000009</v>
      </c>
      <c r="F24" s="314">
        <f t="shared" si="6"/>
        <v>244957.81800000009</v>
      </c>
      <c r="G24" s="314">
        <f t="shared" si="6"/>
        <v>234905.81800000009</v>
      </c>
      <c r="H24" s="314">
        <f t="shared" si="6"/>
        <v>226027.81800000009</v>
      </c>
      <c r="I24" s="314">
        <f t="shared" si="6"/>
        <v>217290.81800000009</v>
      </c>
      <c r="K24" s="418"/>
      <c r="L24" s="314"/>
      <c r="M24" s="314"/>
      <c r="N24" s="314"/>
      <c r="O24" s="314"/>
      <c r="P24" s="314"/>
      <c r="Q24" s="314"/>
      <c r="R24" s="314"/>
      <c r="S24" s="314"/>
      <c r="U24" s="418"/>
      <c r="V24" s="314"/>
      <c r="W24" s="314"/>
      <c r="X24" s="314"/>
      <c r="Y24" s="314"/>
      <c r="Z24" s="314"/>
      <c r="AA24" s="314"/>
      <c r="AB24" s="314"/>
      <c r="AC24" s="314"/>
    </row>
    <row r="25" spans="1:29">
      <c r="A25" s="418" t="s">
        <v>114</v>
      </c>
      <c r="B25" s="314">
        <f>B23</f>
        <v>43119.055444742698</v>
      </c>
      <c r="C25" s="314">
        <f t="shared" ref="C25:I25" si="7">B25+C23</f>
        <v>66296.055444742698</v>
      </c>
      <c r="D25" s="314">
        <f t="shared" si="7"/>
        <v>80490.055444742698</v>
      </c>
      <c r="E25" s="314">
        <f t="shared" si="7"/>
        <v>92175.055444742698</v>
      </c>
      <c r="F25" s="314">
        <f t="shared" si="7"/>
        <v>102983.0554447427</v>
      </c>
      <c r="G25" s="314">
        <f t="shared" si="7"/>
        <v>113035.0554447427</v>
      </c>
      <c r="H25" s="314">
        <f t="shared" si="7"/>
        <v>121913.0554447427</v>
      </c>
      <c r="I25" s="314">
        <f t="shared" si="7"/>
        <v>130650.0554447427</v>
      </c>
      <c r="K25" s="418" t="s">
        <v>114</v>
      </c>
      <c r="L25" s="314">
        <f t="shared" ref="L25:S25" si="8">B15-B25</f>
        <v>0</v>
      </c>
      <c r="M25" s="314">
        <f t="shared" si="8"/>
        <v>18036.129690215224</v>
      </c>
      <c r="N25" s="314">
        <f t="shared" si="8"/>
        <v>30054.429837830801</v>
      </c>
      <c r="O25" s="314">
        <f t="shared" si="8"/>
        <v>42554.130275220814</v>
      </c>
      <c r="P25" s="314">
        <f t="shared" si="8"/>
        <v>54060.071896231093</v>
      </c>
      <c r="Q25" s="314">
        <f t="shared" si="8"/>
        <v>64595.963483098662</v>
      </c>
      <c r="R25" s="314">
        <f t="shared" si="8"/>
        <v>74713.320161522308</v>
      </c>
      <c r="S25" s="314">
        <f t="shared" si="8"/>
        <v>83502.329263430176</v>
      </c>
      <c r="U25" s="418" t="s">
        <v>114</v>
      </c>
      <c r="V25" s="419">
        <f t="shared" ref="V25:AC25" si="9">(B15-B25)/B25</f>
        <v>0</v>
      </c>
      <c r="W25" s="419">
        <f t="shared" si="9"/>
        <v>0.27205434123072697</v>
      </c>
      <c r="X25" s="419">
        <f t="shared" si="9"/>
        <v>0.3733930815647592</v>
      </c>
      <c r="Y25" s="419">
        <f t="shared" si="9"/>
        <v>0.4616664461973799</v>
      </c>
      <c r="Z25" s="419">
        <f t="shared" si="9"/>
        <v>0.52494142519628328</v>
      </c>
      <c r="AA25" s="419">
        <f t="shared" si="9"/>
        <v>0.57146841065315768</v>
      </c>
      <c r="AB25" s="419">
        <f t="shared" si="9"/>
        <v>0.61284101107109279</v>
      </c>
      <c r="AC25" s="419">
        <f t="shared" si="9"/>
        <v>0.63912968868770792</v>
      </c>
    </row>
    <row r="27" spans="1:29" s="7" customFormat="1" ht="15.75">
      <c r="A27" s="8" t="s">
        <v>116</v>
      </c>
      <c r="D27" s="8"/>
      <c r="F27" s="417"/>
      <c r="K27" s="8" t="s">
        <v>104</v>
      </c>
      <c r="N27" s="8"/>
      <c r="P27" s="417"/>
      <c r="U27" s="8" t="s">
        <v>105</v>
      </c>
      <c r="X27" s="8"/>
      <c r="Z27" s="417"/>
    </row>
    <row r="28" spans="1:29" s="7" customFormat="1">
      <c r="D28" s="8"/>
      <c r="N28" s="8"/>
      <c r="X28" s="8"/>
    </row>
    <row r="29" spans="1:29" s="7" customFormat="1" ht="38.25">
      <c r="A29" s="420"/>
      <c r="B29" s="421" t="s">
        <v>103</v>
      </c>
      <c r="H29" s="8"/>
      <c r="K29" s="420"/>
      <c r="L29" s="421" t="s">
        <v>103</v>
      </c>
      <c r="R29" s="8"/>
      <c r="U29" s="420"/>
      <c r="V29" s="421" t="s">
        <v>103</v>
      </c>
      <c r="AB29" s="8"/>
    </row>
    <row r="30" spans="1:29" s="7" customFormat="1">
      <c r="A30" s="418" t="s">
        <v>112</v>
      </c>
      <c r="B30" s="314">
        <v>111191</v>
      </c>
      <c r="H30" s="8"/>
      <c r="K30" s="418" t="s">
        <v>112</v>
      </c>
      <c r="L30" s="314">
        <f>I15-B30</f>
        <v>102961.38470817287</v>
      </c>
      <c r="R30" s="8"/>
      <c r="U30" s="418" t="s">
        <v>112</v>
      </c>
      <c r="V30" s="419">
        <f>(B20-B30)/B30</f>
        <v>-1</v>
      </c>
      <c r="AB30" s="8"/>
    </row>
    <row r="33" spans="1:29" s="7" customFormat="1" ht="14.25">
      <c r="A33" s="8" t="s">
        <v>117</v>
      </c>
      <c r="D33" s="8"/>
      <c r="F33" s="417"/>
      <c r="O33" s="8"/>
    </row>
    <row r="34" spans="1:29" s="7" customFormat="1">
      <c r="D34" s="8"/>
      <c r="O34" s="8"/>
    </row>
    <row r="35" spans="1:29" s="7" customFormat="1" ht="12.75" customHeight="1">
      <c r="A35" s="10"/>
      <c r="B35" s="478" t="s">
        <v>75</v>
      </c>
      <c r="C35" s="479" t="s">
        <v>3</v>
      </c>
      <c r="D35" s="479"/>
      <c r="E35" s="479"/>
      <c r="F35" s="479"/>
      <c r="G35" s="479"/>
      <c r="H35" s="479"/>
      <c r="I35" s="480"/>
      <c r="O35" s="8"/>
    </row>
    <row r="36" spans="1:29" s="7" customFormat="1">
      <c r="A36" s="12"/>
      <c r="B36" s="478"/>
      <c r="C36" s="481"/>
      <c r="D36" s="481"/>
      <c r="E36" s="481"/>
      <c r="F36" s="481"/>
      <c r="G36" s="481"/>
      <c r="H36" s="481"/>
      <c r="I36" s="482"/>
      <c r="O36" s="8"/>
    </row>
    <row r="37" spans="1:29" s="7" customFormat="1">
      <c r="A37" s="14"/>
      <c r="B37" s="298">
        <v>2014</v>
      </c>
      <c r="C37" s="299">
        <v>2015</v>
      </c>
      <c r="D37" s="299">
        <v>2016</v>
      </c>
      <c r="E37" s="300">
        <v>2017</v>
      </c>
      <c r="F37" s="299">
        <v>2018</v>
      </c>
      <c r="G37" s="300">
        <v>2019</v>
      </c>
      <c r="H37" s="299">
        <v>2020</v>
      </c>
      <c r="I37" s="301">
        <v>2021</v>
      </c>
      <c r="O37" s="8"/>
    </row>
    <row r="38" spans="1:29" s="7" customFormat="1">
      <c r="A38" s="418" t="s">
        <v>118</v>
      </c>
      <c r="B38" s="314">
        <v>34495899</v>
      </c>
      <c r="C38" s="422"/>
      <c r="D38" s="422"/>
      <c r="E38" s="422"/>
      <c r="F38" s="422"/>
      <c r="G38" s="422"/>
      <c r="H38" s="422"/>
      <c r="I38" s="422"/>
      <c r="O38" s="8"/>
    </row>
    <row r="39" spans="1:29" s="7" customFormat="1">
      <c r="A39" s="418" t="s">
        <v>119</v>
      </c>
      <c r="B39" s="314">
        <f>+B47</f>
        <v>34357029</v>
      </c>
      <c r="C39" s="313">
        <f>'[6]7.1 Safety Outputs'!B100*10000000</f>
        <v>24800000</v>
      </c>
      <c r="D39" s="313">
        <v>28000000</v>
      </c>
      <c r="E39" s="313">
        <v>27160000</v>
      </c>
      <c r="F39" s="313">
        <v>26345200</v>
      </c>
      <c r="G39" s="313">
        <v>25554844</v>
      </c>
      <c r="H39" s="313">
        <v>24788198.68</v>
      </c>
      <c r="I39" s="313">
        <v>24044552.719599999</v>
      </c>
      <c r="O39" s="8"/>
    </row>
    <row r="40" spans="1:29" s="7" customFormat="1">
      <c r="A40" s="418" t="s">
        <v>120</v>
      </c>
      <c r="B40" s="314">
        <f>B38-B39</f>
        <v>138870</v>
      </c>
      <c r="C40" s="314">
        <f>$B$38-C39</f>
        <v>9695899</v>
      </c>
      <c r="D40" s="314">
        <f t="shared" ref="D40:I40" si="10">$B$38-D39</f>
        <v>6495899</v>
      </c>
      <c r="E40" s="314">
        <f t="shared" si="10"/>
        <v>7335899</v>
      </c>
      <c r="F40" s="314">
        <f t="shared" si="10"/>
        <v>8150699</v>
      </c>
      <c r="G40" s="314">
        <f t="shared" si="10"/>
        <v>8941055</v>
      </c>
      <c r="H40" s="314">
        <f t="shared" si="10"/>
        <v>9707700.3200000003</v>
      </c>
      <c r="I40" s="314">
        <f t="shared" si="10"/>
        <v>10451346.280400001</v>
      </c>
      <c r="O40" s="8"/>
    </row>
    <row r="42" spans="1:29" s="7" customFormat="1" ht="14.25">
      <c r="A42" s="8" t="s">
        <v>121</v>
      </c>
      <c r="D42" s="8"/>
      <c r="F42" s="417"/>
      <c r="K42" s="8" t="s">
        <v>48</v>
      </c>
      <c r="N42" s="8"/>
      <c r="P42" s="417"/>
      <c r="U42" s="8" t="s">
        <v>49</v>
      </c>
      <c r="X42" s="8"/>
      <c r="Z42" s="417"/>
    </row>
    <row r="43" spans="1:29" s="7" customFormat="1">
      <c r="D43" s="8"/>
      <c r="N43" s="8"/>
      <c r="X43" s="8"/>
    </row>
    <row r="44" spans="1:29" s="7" customFormat="1" ht="12.75" customHeight="1">
      <c r="A44" s="10"/>
      <c r="B44" s="478" t="s">
        <v>75</v>
      </c>
      <c r="C44" s="479" t="s">
        <v>3</v>
      </c>
      <c r="D44" s="479"/>
      <c r="E44" s="479"/>
      <c r="F44" s="479"/>
      <c r="G44" s="479"/>
      <c r="H44" s="479"/>
      <c r="I44" s="480"/>
      <c r="K44" s="10"/>
      <c r="L44" s="478" t="s">
        <v>75</v>
      </c>
      <c r="M44" s="479" t="s">
        <v>3</v>
      </c>
      <c r="N44" s="479"/>
      <c r="O44" s="479"/>
      <c r="P44" s="479"/>
      <c r="Q44" s="479"/>
      <c r="R44" s="479"/>
      <c r="S44" s="480"/>
      <c r="U44" s="10"/>
      <c r="V44" s="478" t="s">
        <v>75</v>
      </c>
      <c r="W44" s="479" t="s">
        <v>3</v>
      </c>
      <c r="X44" s="479"/>
      <c r="Y44" s="479"/>
      <c r="Z44" s="479"/>
      <c r="AA44" s="479"/>
      <c r="AB44" s="479"/>
      <c r="AC44" s="480"/>
    </row>
    <row r="45" spans="1:29" s="7" customFormat="1">
      <c r="A45" s="12"/>
      <c r="B45" s="478"/>
      <c r="C45" s="481"/>
      <c r="D45" s="481"/>
      <c r="E45" s="481"/>
      <c r="F45" s="481"/>
      <c r="G45" s="481"/>
      <c r="H45" s="481"/>
      <c r="I45" s="482"/>
      <c r="K45" s="12"/>
      <c r="L45" s="478"/>
      <c r="M45" s="481"/>
      <c r="N45" s="481"/>
      <c r="O45" s="481"/>
      <c r="P45" s="481"/>
      <c r="Q45" s="481"/>
      <c r="R45" s="481"/>
      <c r="S45" s="482"/>
      <c r="U45" s="12"/>
      <c r="V45" s="478"/>
      <c r="W45" s="481"/>
      <c r="X45" s="481"/>
      <c r="Y45" s="481"/>
      <c r="Z45" s="481"/>
      <c r="AA45" s="481"/>
      <c r="AB45" s="481"/>
      <c r="AC45" s="482"/>
    </row>
    <row r="46" spans="1:29" s="7" customFormat="1">
      <c r="A46" s="14"/>
      <c r="B46" s="298">
        <v>2014</v>
      </c>
      <c r="C46" s="299">
        <v>2015</v>
      </c>
      <c r="D46" s="299">
        <v>2016</v>
      </c>
      <c r="E46" s="300">
        <v>2017</v>
      </c>
      <c r="F46" s="299">
        <v>2018</v>
      </c>
      <c r="G46" s="300">
        <v>2019</v>
      </c>
      <c r="H46" s="299">
        <v>2020</v>
      </c>
      <c r="I46" s="301">
        <v>2021</v>
      </c>
      <c r="K46" s="14"/>
      <c r="L46" s="298">
        <v>2014</v>
      </c>
      <c r="M46" s="299">
        <v>2015</v>
      </c>
      <c r="N46" s="299">
        <v>2016</v>
      </c>
      <c r="O46" s="300">
        <v>2017</v>
      </c>
      <c r="P46" s="299">
        <v>2018</v>
      </c>
      <c r="Q46" s="300">
        <v>2019</v>
      </c>
      <c r="R46" s="299">
        <v>2020</v>
      </c>
      <c r="S46" s="301">
        <v>2021</v>
      </c>
      <c r="U46" s="14"/>
      <c r="V46" s="298">
        <v>2014</v>
      </c>
      <c r="W46" s="299">
        <v>2015</v>
      </c>
      <c r="X46" s="299">
        <v>2016</v>
      </c>
      <c r="Y46" s="300">
        <v>2017</v>
      </c>
      <c r="Z46" s="299">
        <v>2018</v>
      </c>
      <c r="AA46" s="300">
        <v>2019</v>
      </c>
      <c r="AB46" s="299">
        <v>2020</v>
      </c>
      <c r="AC46" s="301">
        <v>2021</v>
      </c>
    </row>
    <row r="47" spans="1:29" s="7" customFormat="1">
      <c r="A47" s="418" t="s">
        <v>119</v>
      </c>
      <c r="B47" s="314">
        <v>34357029</v>
      </c>
      <c r="C47" s="314">
        <v>34013458.710000001</v>
      </c>
      <c r="D47" s="314">
        <v>33673324.122900002</v>
      </c>
      <c r="E47" s="314">
        <v>33336590.881671</v>
      </c>
      <c r="F47" s="314">
        <v>33003224.97285429</v>
      </c>
      <c r="G47" s="314">
        <v>32673192.723125748</v>
      </c>
      <c r="H47" s="314">
        <v>32346460.795894492</v>
      </c>
      <c r="I47" s="314">
        <v>32022996.187935546</v>
      </c>
      <c r="K47" s="418" t="s">
        <v>119</v>
      </c>
      <c r="L47" s="314">
        <f t="shared" ref="L47:S48" si="11">B39-B47</f>
        <v>0</v>
      </c>
      <c r="M47" s="314">
        <f t="shared" si="11"/>
        <v>-9213458.7100000009</v>
      </c>
      <c r="N47" s="314">
        <f t="shared" si="11"/>
        <v>-5673324.1229000017</v>
      </c>
      <c r="O47" s="314">
        <f t="shared" si="11"/>
        <v>-6176590.8816710003</v>
      </c>
      <c r="P47" s="314">
        <f t="shared" si="11"/>
        <v>-6658024.9728542902</v>
      </c>
      <c r="Q47" s="314">
        <f t="shared" si="11"/>
        <v>-7118348.7231257483</v>
      </c>
      <c r="R47" s="314">
        <f t="shared" si="11"/>
        <v>-7558262.1158944927</v>
      </c>
      <c r="S47" s="314">
        <f t="shared" si="11"/>
        <v>-7978443.4683355466</v>
      </c>
      <c r="U47" s="418" t="s">
        <v>122</v>
      </c>
      <c r="V47" s="419">
        <f t="shared" ref="V47:AC47" si="12">(B39-B47)/B47</f>
        <v>0</v>
      </c>
      <c r="W47" s="419">
        <f t="shared" si="12"/>
        <v>-0.27087685461670596</v>
      </c>
      <c r="X47" s="419">
        <f t="shared" si="12"/>
        <v>-0.16848126137454247</v>
      </c>
      <c r="Y47" s="419">
        <f t="shared" si="12"/>
        <v>-0.1852796197306123</v>
      </c>
      <c r="Z47" s="419">
        <f t="shared" si="12"/>
        <v>-0.20173861731181206</v>
      </c>
      <c r="AA47" s="419">
        <f t="shared" si="12"/>
        <v>-0.21786510989137142</v>
      </c>
      <c r="AB47" s="419">
        <f t="shared" si="12"/>
        <v>-0.23366581474205084</v>
      </c>
      <c r="AC47" s="419">
        <f t="shared" si="12"/>
        <v>-0.2491473134341306</v>
      </c>
    </row>
    <row r="48" spans="1:29" s="7" customFormat="1">
      <c r="A48" s="418" t="s">
        <v>120</v>
      </c>
      <c r="B48" s="314">
        <v>138870</v>
      </c>
      <c r="C48" s="314">
        <v>482440.28999999911</v>
      </c>
      <c r="D48" s="314">
        <v>822574.8770999983</v>
      </c>
      <c r="E48" s="314">
        <v>1159308.1183289997</v>
      </c>
      <c r="F48" s="314">
        <v>1492674.0271457098</v>
      </c>
      <c r="G48" s="314">
        <v>1822706.2768742517</v>
      </c>
      <c r="H48" s="314">
        <v>2149438.2041055076</v>
      </c>
      <c r="I48" s="314">
        <v>2472902.812064454</v>
      </c>
      <c r="K48" s="418" t="s">
        <v>120</v>
      </c>
      <c r="L48" s="314">
        <f t="shared" si="11"/>
        <v>0</v>
      </c>
      <c r="M48" s="314">
        <f t="shared" si="11"/>
        <v>9213458.7100000009</v>
      </c>
      <c r="N48" s="314">
        <f t="shared" si="11"/>
        <v>5673324.1229000017</v>
      </c>
      <c r="O48" s="314">
        <f t="shared" si="11"/>
        <v>6176590.8816710003</v>
      </c>
      <c r="P48" s="314">
        <f t="shared" si="11"/>
        <v>6658024.9728542902</v>
      </c>
      <c r="Q48" s="314">
        <f t="shared" si="11"/>
        <v>7118348.7231257483</v>
      </c>
      <c r="R48" s="314">
        <f t="shared" si="11"/>
        <v>7558262.1158944927</v>
      </c>
      <c r="S48" s="314">
        <f t="shared" si="11"/>
        <v>7978443.4683355466</v>
      </c>
      <c r="U48" s="418"/>
      <c r="V48" s="314"/>
      <c r="W48" s="314"/>
      <c r="X48" s="314"/>
      <c r="Y48" s="314"/>
      <c r="Z48" s="314"/>
      <c r="AA48" s="314"/>
      <c r="AB48" s="314"/>
      <c r="AC48" s="314"/>
    </row>
    <row r="51" spans="1:9">
      <c r="A51" s="8" t="s">
        <v>123</v>
      </c>
    </row>
    <row r="53" spans="1:9">
      <c r="A53" s="423"/>
      <c r="B53" s="424">
        <v>2014</v>
      </c>
      <c r="C53" s="425">
        <v>2015</v>
      </c>
      <c r="D53" s="425">
        <v>2016</v>
      </c>
      <c r="E53" s="426">
        <v>2017</v>
      </c>
      <c r="F53" s="425">
        <v>2018</v>
      </c>
      <c r="G53" s="426">
        <v>2019</v>
      </c>
      <c r="H53" s="425">
        <v>2020</v>
      </c>
      <c r="I53" s="427">
        <v>2021</v>
      </c>
    </row>
    <row r="54" spans="1:9">
      <c r="A54" s="428" t="s">
        <v>124</v>
      </c>
      <c r="B54" s="314">
        <v>89290</v>
      </c>
      <c r="C54" s="314">
        <f>'[6]7.4 PREs, Reports and Repairs '!$C$8</f>
        <v>83446</v>
      </c>
      <c r="D54" s="429"/>
      <c r="E54" s="429"/>
      <c r="F54" s="429"/>
      <c r="G54" s="429"/>
      <c r="H54" s="429"/>
      <c r="I54" s="429"/>
    </row>
    <row r="55" spans="1:9">
      <c r="A55" s="430"/>
      <c r="B55" s="429"/>
      <c r="C55" s="429"/>
      <c r="D55" s="429"/>
      <c r="E55" s="429"/>
      <c r="F55" s="429"/>
      <c r="G55" s="429"/>
      <c r="H55" s="429"/>
      <c r="I55" s="429"/>
    </row>
    <row r="56" spans="1:9">
      <c r="A56" s="431" t="s">
        <v>125</v>
      </c>
      <c r="B56" s="432"/>
      <c r="C56" s="432"/>
      <c r="D56" s="432"/>
      <c r="E56" s="432"/>
      <c r="F56" s="432"/>
      <c r="G56" s="432"/>
      <c r="H56" s="432"/>
      <c r="I56" s="432"/>
    </row>
    <row r="57" spans="1:9" ht="38.25">
      <c r="A57" s="433" t="s">
        <v>126</v>
      </c>
      <c r="B57" s="314">
        <v>28798</v>
      </c>
      <c r="C57" s="314">
        <f>'[6]7.4 PREs, Reports and Repairs '!$C$11</f>
        <v>26936</v>
      </c>
      <c r="D57" s="432"/>
      <c r="E57" s="432"/>
      <c r="F57" s="432"/>
      <c r="G57" s="432"/>
      <c r="H57" s="432"/>
      <c r="I57" s="432"/>
    </row>
    <row r="58" spans="1:9" ht="25.5">
      <c r="A58" s="433" t="s">
        <v>127</v>
      </c>
      <c r="B58" s="314">
        <v>28789</v>
      </c>
      <c r="C58" s="314">
        <f>'[6]7.4 PREs, Reports and Repairs '!$C$12</f>
        <v>26933</v>
      </c>
      <c r="D58" s="434"/>
      <c r="E58" s="434"/>
      <c r="F58" s="434"/>
      <c r="G58" s="434"/>
      <c r="H58" s="434"/>
      <c r="I58" s="434"/>
    </row>
    <row r="59" spans="1:9" ht="38.25">
      <c r="A59" s="435" t="s">
        <v>128</v>
      </c>
      <c r="B59" s="436">
        <v>0.99968747829710392</v>
      </c>
      <c r="C59" s="436">
        <f>'[6]7.4 PREs, Reports and Repairs '!C13</f>
        <v>0.99988862488862484</v>
      </c>
      <c r="D59" s="434"/>
      <c r="E59" s="434"/>
      <c r="F59" s="434"/>
      <c r="G59" s="434"/>
      <c r="H59" s="434"/>
      <c r="I59" s="434"/>
    </row>
    <row r="60" spans="1:9">
      <c r="A60" s="437"/>
      <c r="B60" s="434"/>
      <c r="C60" s="434"/>
      <c r="D60" s="434"/>
      <c r="E60" s="434"/>
      <c r="F60" s="434"/>
      <c r="G60" s="434"/>
      <c r="H60" s="434"/>
      <c r="I60" s="434"/>
    </row>
    <row r="61" spans="1:9">
      <c r="A61" s="438" t="s">
        <v>129</v>
      </c>
      <c r="B61" s="434"/>
      <c r="C61" s="434"/>
      <c r="D61" s="434"/>
      <c r="E61" s="434"/>
      <c r="F61" s="434"/>
      <c r="G61" s="434"/>
      <c r="H61" s="434"/>
      <c r="I61" s="434"/>
    </row>
    <row r="62" spans="1:9" ht="38.25">
      <c r="A62" s="433" t="s">
        <v>130</v>
      </c>
      <c r="B62" s="314">
        <v>60492</v>
      </c>
      <c r="C62" s="314">
        <f>'[6]7.4 PREs, Reports and Repairs '!$C$16</f>
        <v>56510</v>
      </c>
      <c r="D62" s="434"/>
      <c r="E62" s="434"/>
      <c r="F62" s="434"/>
      <c r="G62" s="434"/>
      <c r="H62" s="434"/>
      <c r="I62" s="434"/>
    </row>
    <row r="63" spans="1:9" ht="25.5">
      <c r="A63" s="433" t="s">
        <v>131</v>
      </c>
      <c r="B63" s="314">
        <v>60403</v>
      </c>
      <c r="C63" s="314">
        <f>'[6]7.4 PREs, Reports and Repairs '!$C$17</f>
        <v>56428</v>
      </c>
      <c r="D63" s="434"/>
      <c r="E63" s="434"/>
      <c r="F63" s="434"/>
      <c r="G63" s="434"/>
      <c r="H63" s="434"/>
      <c r="I63" s="434"/>
    </row>
    <row r="64" spans="1:9" ht="38.25">
      <c r="A64" s="435" t="s">
        <v>132</v>
      </c>
      <c r="B64" s="436">
        <v>0.99852873107187723</v>
      </c>
      <c r="C64" s="436">
        <f>'[6]7.4 PREs, Reports and Repairs '!$C$18</f>
        <v>0.99854892939302775</v>
      </c>
      <c r="D64" s="434"/>
      <c r="E64" s="434"/>
      <c r="F64" s="434"/>
      <c r="G64" s="434"/>
      <c r="H64" s="434"/>
      <c r="I64" s="434"/>
    </row>
    <row r="65" spans="1:9" ht="38.25">
      <c r="A65" s="435" t="s">
        <v>133</v>
      </c>
      <c r="B65" s="436">
        <v>0.623</v>
      </c>
      <c r="C65" s="439">
        <v>0.629</v>
      </c>
      <c r="D65" s="440"/>
      <c r="E65" s="440"/>
      <c r="F65" s="440"/>
      <c r="G65" s="440"/>
      <c r="H65" s="440"/>
      <c r="I65" s="440"/>
    </row>
    <row r="67" spans="1:9">
      <c r="A67" s="8" t="s">
        <v>134</v>
      </c>
    </row>
    <row r="68" spans="1:9">
      <c r="A68" s="8"/>
    </row>
    <row r="69" spans="1:9" ht="15">
      <c r="A69" s="441"/>
      <c r="B69" s="424">
        <v>2014</v>
      </c>
      <c r="C69" s="425">
        <v>2015</v>
      </c>
      <c r="D69" s="425">
        <v>2016</v>
      </c>
      <c r="E69" s="426">
        <v>2017</v>
      </c>
      <c r="F69" s="425">
        <v>2018</v>
      </c>
      <c r="G69" s="426">
        <v>2019</v>
      </c>
      <c r="H69" s="425">
        <v>2020</v>
      </c>
      <c r="I69" s="427">
        <v>2021</v>
      </c>
    </row>
    <row r="70" spans="1:9" ht="51">
      <c r="A70" s="442" t="s">
        <v>135</v>
      </c>
      <c r="B70" s="314">
        <v>38</v>
      </c>
      <c r="C70" s="314">
        <f>SUM('[6]7.1 Safety Outputs'!$H$9:$H$17)</f>
        <v>35</v>
      </c>
      <c r="D70" s="313">
        <v>43</v>
      </c>
      <c r="E70" s="313">
        <v>42</v>
      </c>
      <c r="F70" s="313">
        <v>41</v>
      </c>
      <c r="G70" s="313">
        <v>40</v>
      </c>
      <c r="H70" s="313">
        <v>39</v>
      </c>
      <c r="I70" s="313">
        <v>38</v>
      </c>
    </row>
    <row r="71" spans="1:9" ht="38.25">
      <c r="A71" s="443" t="s">
        <v>136</v>
      </c>
      <c r="B71" s="314">
        <v>18</v>
      </c>
      <c r="C71" s="314">
        <f>SUM('[6]7.1 Safety Outputs'!$H$28:$H$36)</f>
        <v>42</v>
      </c>
      <c r="D71" s="422"/>
      <c r="E71" s="422"/>
      <c r="F71" s="422"/>
      <c r="G71" s="422"/>
      <c r="H71" s="422"/>
      <c r="I71" s="422"/>
    </row>
    <row r="73" spans="1:9">
      <c r="A73" s="8" t="s">
        <v>137</v>
      </c>
    </row>
    <row r="74" spans="1:9">
      <c r="A74" s="8"/>
    </row>
    <row r="75" spans="1:9">
      <c r="A75" s="8"/>
      <c r="B75" s="424">
        <v>2014</v>
      </c>
      <c r="C75" s="425">
        <v>2015</v>
      </c>
      <c r="D75" s="425">
        <v>2016</v>
      </c>
      <c r="E75" s="426">
        <v>2017</v>
      </c>
      <c r="F75" s="425">
        <v>2018</v>
      </c>
      <c r="G75" s="426">
        <v>2019</v>
      </c>
      <c r="H75" s="425">
        <v>2020</v>
      </c>
      <c r="I75" s="427">
        <v>2021</v>
      </c>
    </row>
    <row r="76" spans="1:9" ht="25.5">
      <c r="A76" s="443" t="s">
        <v>138</v>
      </c>
      <c r="B76" s="314">
        <v>815</v>
      </c>
      <c r="C76" s="314">
        <f>SUM('[6]7.1 Safety Outputs'!$H$63:$H$71)</f>
        <v>883</v>
      </c>
      <c r="D76" s="313">
        <v>1405</v>
      </c>
      <c r="E76" s="313">
        <v>1345</v>
      </c>
      <c r="F76" s="313">
        <v>1286</v>
      </c>
      <c r="G76" s="313">
        <v>1227</v>
      </c>
      <c r="H76" s="313">
        <v>1168</v>
      </c>
      <c r="I76" s="313">
        <v>1113</v>
      </c>
    </row>
    <row r="79" spans="1:9">
      <c r="A79" s="8" t="s">
        <v>139</v>
      </c>
    </row>
    <row r="81" spans="1:9">
      <c r="B81" s="424">
        <v>2014</v>
      </c>
      <c r="C81" s="425">
        <v>2015</v>
      </c>
      <c r="D81" s="425">
        <v>2016</v>
      </c>
      <c r="E81" s="426">
        <v>2017</v>
      </c>
      <c r="F81" s="425">
        <v>2018</v>
      </c>
      <c r="G81" s="426">
        <v>2019</v>
      </c>
      <c r="H81" s="425">
        <v>2020</v>
      </c>
      <c r="I81" s="427">
        <v>2021</v>
      </c>
    </row>
    <row r="82" spans="1:9" ht="25.5">
      <c r="A82" s="443" t="s">
        <v>140</v>
      </c>
      <c r="B82" s="436">
        <v>6.7164179104477612E-2</v>
      </c>
      <c r="C82" s="436">
        <f>+'[6]5.6 UNC Sub Deducts'!$C$20</f>
        <v>0.58208955223880599</v>
      </c>
      <c r="D82" s="444">
        <v>0.21000000000000008</v>
      </c>
      <c r="E82" s="444">
        <v>4.9999999999999933E-2</v>
      </c>
      <c r="F82" s="444">
        <v>4.0000000000000036E-2</v>
      </c>
      <c r="G82" s="444">
        <v>5.0000000000000044E-2</v>
      </c>
      <c r="H82" s="444">
        <v>3.9999999999999925E-2</v>
      </c>
      <c r="I82" s="444">
        <v>3.0000000000000027E-2</v>
      </c>
    </row>
    <row r="83" spans="1:9" ht="25.5">
      <c r="A83" s="443" t="s">
        <v>141</v>
      </c>
      <c r="B83" s="436">
        <f>+B82</f>
        <v>6.7164179104477612E-2</v>
      </c>
      <c r="C83" s="436">
        <f>IF(ISERROR(+C82+B83),"",(+C82+B83))</f>
        <v>0.64925373134328357</v>
      </c>
      <c r="D83" s="436">
        <f t="shared" ref="D83:I83" si="13">IF(ISERROR(+D82+C83),"",(+D82+C83))</f>
        <v>0.85925373134328364</v>
      </c>
      <c r="E83" s="436">
        <f t="shared" si="13"/>
        <v>0.90925373134328358</v>
      </c>
      <c r="F83" s="436">
        <f t="shared" si="13"/>
        <v>0.94925373134328361</v>
      </c>
      <c r="G83" s="436">
        <f t="shared" si="13"/>
        <v>0.99925373134328366</v>
      </c>
      <c r="H83" s="436">
        <f t="shared" si="13"/>
        <v>1.0392537313432837</v>
      </c>
      <c r="I83" s="436">
        <f t="shared" si="13"/>
        <v>1.0692537313432837</v>
      </c>
    </row>
  </sheetData>
  <mergeCells count="16">
    <mergeCell ref="V19:V20"/>
    <mergeCell ref="W19:AC20"/>
    <mergeCell ref="B35:B36"/>
    <mergeCell ref="C35:I36"/>
    <mergeCell ref="B44:B45"/>
    <mergeCell ref="C44:I45"/>
    <mergeCell ref="L44:L45"/>
    <mergeCell ref="M44:S45"/>
    <mergeCell ref="V44:V45"/>
    <mergeCell ref="W44:AC45"/>
    <mergeCell ref="M19:S20"/>
    <mergeCell ref="B9:B10"/>
    <mergeCell ref="C9:I10"/>
    <mergeCell ref="B19:B20"/>
    <mergeCell ref="C19:I20"/>
    <mergeCell ref="L19:L20"/>
  </mergeCells>
  <dataValidations count="1">
    <dataValidation type="list" allowBlank="1" showInputMessage="1" showErrorMessage="1" sqref="A1">
      <formula1>A920:A925</formula1>
    </dataValidation>
  </dataValidations>
  <pageMargins left="0.70866141732283472" right="0.70866141732283472" top="0.74803149606299213" bottom="0.74803149606299213" header="0.31496062992125984" footer="0.31496062992125984"/>
  <pageSetup paperSize="8" scale="43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AF135"/>
  <sheetViews>
    <sheetView topLeftCell="A100" zoomScaleNormal="100" workbookViewId="0">
      <selection activeCell="B29" sqref="B29"/>
    </sheetView>
  </sheetViews>
  <sheetFormatPr defaultRowHeight="12.75"/>
  <cols>
    <col min="1" max="1" width="30.85546875" customWidth="1"/>
    <col min="2" max="2" width="14.5703125" bestFit="1" customWidth="1"/>
    <col min="3" max="9" width="11.28515625" customWidth="1"/>
    <col min="10" max="10" width="14.5703125" bestFit="1" customWidth="1"/>
    <col min="12" max="12" width="29.42578125" customWidth="1"/>
    <col min="13" max="13" width="14.5703125" bestFit="1" customWidth="1"/>
    <col min="14" max="20" width="11.42578125" customWidth="1"/>
    <col min="21" max="21" width="14.5703125" bestFit="1" customWidth="1"/>
    <col min="23" max="23" width="29.5703125" customWidth="1"/>
    <col min="24" max="24" width="13.85546875" bestFit="1" customWidth="1"/>
    <col min="25" max="32" width="11.5703125" customWidth="1"/>
  </cols>
  <sheetData>
    <row r="1" spans="1:32" s="3" customFormat="1" ht="24.75">
      <c r="A1" s="1" t="str">
        <f>'[6]Universal data'!A1</f>
        <v>Regulatory Reporting Pack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s="3" customFormat="1" ht="24.75">
      <c r="A2" s="4" t="str">
        <f>'[6]Universal data'!A2</f>
        <v>Northern Gas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s="3" customFormat="1" ht="24.75">
      <c r="A3" s="5" t="str">
        <f>+'[6]Universal data'!A3</f>
        <v>2014/15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>
      <c r="A4" s="7"/>
      <c r="B4" s="7"/>
      <c r="C4" s="7"/>
      <c r="D4" s="8"/>
      <c r="E4" s="7"/>
      <c r="F4" s="7"/>
      <c r="G4" s="7"/>
      <c r="H4" s="7"/>
      <c r="I4" s="7"/>
      <c r="J4" s="7"/>
    </row>
    <row r="5" spans="1:32" ht="15">
      <c r="A5" s="416" t="s">
        <v>142</v>
      </c>
      <c r="B5" s="7"/>
      <c r="C5" s="7"/>
      <c r="D5" s="8"/>
      <c r="E5" s="7"/>
      <c r="F5" s="7"/>
      <c r="G5" s="7"/>
      <c r="H5" s="7"/>
      <c r="I5" s="7"/>
      <c r="J5" s="7"/>
    </row>
    <row r="6" spans="1:32" ht="19.5">
      <c r="A6" s="6"/>
      <c r="B6" s="7"/>
      <c r="C6" s="7"/>
      <c r="D6" s="8"/>
      <c r="E6" s="7"/>
      <c r="F6" s="7"/>
      <c r="G6" s="7"/>
      <c r="H6" s="7"/>
      <c r="I6" s="7"/>
      <c r="J6" s="7"/>
    </row>
    <row r="7" spans="1:32" ht="15">
      <c r="A7" s="416" t="s">
        <v>143</v>
      </c>
      <c r="B7" s="7"/>
      <c r="C7" s="7"/>
      <c r="D7" s="8"/>
      <c r="E7" s="7"/>
      <c r="F7" s="7"/>
      <c r="G7" s="7"/>
      <c r="H7" s="7"/>
      <c r="I7" s="7"/>
      <c r="J7" s="7"/>
    </row>
    <row r="8" spans="1:32">
      <c r="A8" s="7"/>
      <c r="B8" s="7"/>
      <c r="C8" s="7"/>
      <c r="D8" s="8"/>
      <c r="E8" s="7"/>
      <c r="F8" s="7"/>
      <c r="G8" s="7"/>
      <c r="H8" s="7"/>
      <c r="I8" s="7"/>
      <c r="J8" s="7"/>
    </row>
    <row r="9" spans="1:32" ht="14.25">
      <c r="A9" s="8" t="s">
        <v>144</v>
      </c>
      <c r="B9" s="7"/>
      <c r="C9" s="7"/>
      <c r="D9" s="8"/>
      <c r="E9" s="7"/>
      <c r="F9" s="417"/>
      <c r="G9" s="7"/>
      <c r="H9" s="7"/>
      <c r="I9" s="7"/>
      <c r="J9" s="7"/>
    </row>
    <row r="10" spans="1:32">
      <c r="A10" s="7"/>
      <c r="B10" s="7"/>
      <c r="C10" s="7"/>
      <c r="D10" s="8"/>
      <c r="E10" s="7"/>
      <c r="F10" s="7"/>
      <c r="G10" s="7"/>
      <c r="H10" s="7"/>
      <c r="I10" s="7"/>
      <c r="J10" s="7"/>
    </row>
    <row r="11" spans="1:32">
      <c r="A11" s="10"/>
      <c r="B11" s="478" t="s">
        <v>75</v>
      </c>
      <c r="C11" s="479" t="s">
        <v>3</v>
      </c>
      <c r="D11" s="479"/>
      <c r="E11" s="479"/>
      <c r="F11" s="479"/>
      <c r="G11" s="479"/>
      <c r="H11" s="479"/>
      <c r="I11" s="480"/>
      <c r="J11" s="294"/>
    </row>
    <row r="12" spans="1:32">
      <c r="A12" s="12"/>
      <c r="B12" s="478"/>
      <c r="C12" s="481"/>
      <c r="D12" s="481"/>
      <c r="E12" s="481"/>
      <c r="F12" s="481"/>
      <c r="G12" s="481"/>
      <c r="H12" s="481"/>
      <c r="I12" s="482"/>
      <c r="J12" s="296"/>
    </row>
    <row r="13" spans="1:32" ht="25.5">
      <c r="A13" s="14"/>
      <c r="B13" s="298">
        <v>2014</v>
      </c>
      <c r="C13" s="299">
        <v>2015</v>
      </c>
      <c r="D13" s="299">
        <v>2016</v>
      </c>
      <c r="E13" s="300">
        <v>2017</v>
      </c>
      <c r="F13" s="299">
        <v>2018</v>
      </c>
      <c r="G13" s="300">
        <v>2019</v>
      </c>
      <c r="H13" s="299">
        <v>2020</v>
      </c>
      <c r="I13" s="301">
        <v>2021</v>
      </c>
      <c r="J13" s="302" t="s">
        <v>5</v>
      </c>
    </row>
    <row r="14" spans="1:32">
      <c r="A14" s="418" t="s">
        <v>145</v>
      </c>
      <c r="B14" s="314">
        <f t="shared" ref="B14:B15" si="0">+B23</f>
        <v>43276</v>
      </c>
      <c r="C14" s="314">
        <f>'[6]7.2 Reliability Outputs'!$B$21</f>
        <v>57434</v>
      </c>
      <c r="D14" s="313">
        <v>52343.257833568561</v>
      </c>
      <c r="E14" s="313">
        <v>50892.778625576946</v>
      </c>
      <c r="F14" s="313">
        <v>50532.074446780425</v>
      </c>
      <c r="G14" s="313">
        <v>50532.074446780425</v>
      </c>
      <c r="H14" s="313">
        <v>47555.140947945576</v>
      </c>
      <c r="I14" s="313">
        <v>47555.140947945576</v>
      </c>
      <c r="J14" s="314">
        <f>SUM(B14:I14)</f>
        <v>400120.46724859753</v>
      </c>
    </row>
    <row r="15" spans="1:32">
      <c r="A15" s="418" t="s">
        <v>146</v>
      </c>
      <c r="B15" s="314">
        <f t="shared" si="0"/>
        <v>11464</v>
      </c>
      <c r="C15" s="314">
        <f>'[6]7.2 Reliability Outputs'!$B$33</f>
        <v>13034</v>
      </c>
      <c r="D15" s="313">
        <v>12500</v>
      </c>
      <c r="E15" s="313">
        <v>12000</v>
      </c>
      <c r="F15" s="313">
        <v>11500</v>
      </c>
      <c r="G15" s="313">
        <v>11000</v>
      </c>
      <c r="H15" s="313">
        <v>10500</v>
      </c>
      <c r="I15" s="313">
        <v>10000</v>
      </c>
      <c r="J15" s="314">
        <f>SUM(B15:I15)</f>
        <v>91998</v>
      </c>
    </row>
    <row r="16" spans="1:32">
      <c r="A16" s="418" t="s">
        <v>147</v>
      </c>
      <c r="B16" s="314">
        <f>SUM(B14:B15)</f>
        <v>54740</v>
      </c>
      <c r="C16" s="314">
        <f t="shared" ref="C16:I16" si="1">SUM(C14:C15)</f>
        <v>70468</v>
      </c>
      <c r="D16" s="314">
        <f t="shared" si="1"/>
        <v>64843.257833568561</v>
      </c>
      <c r="E16" s="314">
        <f t="shared" si="1"/>
        <v>62892.778625576946</v>
      </c>
      <c r="F16" s="314">
        <f t="shared" si="1"/>
        <v>62032.074446780425</v>
      </c>
      <c r="G16" s="314">
        <f t="shared" si="1"/>
        <v>61532.074446780425</v>
      </c>
      <c r="H16" s="314">
        <f t="shared" si="1"/>
        <v>58055.140947945576</v>
      </c>
      <c r="I16" s="314">
        <f t="shared" si="1"/>
        <v>57555.140947945576</v>
      </c>
      <c r="J16" s="314">
        <f>SUM(B16:I16)</f>
        <v>492118.46724859753</v>
      </c>
    </row>
    <row r="18" spans="1:32" ht="14.25">
      <c r="A18" s="8" t="s">
        <v>148</v>
      </c>
      <c r="B18" s="7"/>
      <c r="C18" s="7"/>
      <c r="D18" s="8"/>
      <c r="E18" s="7"/>
      <c r="F18" s="417"/>
      <c r="G18" s="7"/>
      <c r="H18" s="7"/>
      <c r="I18" s="7"/>
      <c r="J18" s="7"/>
      <c r="L18" s="8" t="s">
        <v>48</v>
      </c>
      <c r="M18" s="7"/>
      <c r="N18" s="7"/>
      <c r="O18" s="8"/>
      <c r="P18" s="7"/>
      <c r="Q18" s="417"/>
      <c r="R18" s="7"/>
      <c r="S18" s="7"/>
      <c r="T18" s="7"/>
      <c r="U18" s="7"/>
      <c r="W18" s="8" t="s">
        <v>49</v>
      </c>
      <c r="X18" s="7"/>
      <c r="Y18" s="7"/>
      <c r="Z18" s="8"/>
      <c r="AA18" s="7"/>
      <c r="AB18" s="417"/>
      <c r="AC18" s="7"/>
      <c r="AD18" s="7"/>
      <c r="AE18" s="7"/>
      <c r="AF18" s="7"/>
    </row>
    <row r="19" spans="1:32">
      <c r="A19" s="7"/>
      <c r="B19" s="7"/>
      <c r="C19" s="7"/>
      <c r="D19" s="8"/>
      <c r="E19" s="7"/>
      <c r="F19" s="7"/>
      <c r="G19" s="7"/>
      <c r="H19" s="7"/>
      <c r="I19" s="7"/>
      <c r="J19" s="7"/>
      <c r="L19" s="7"/>
      <c r="M19" s="7"/>
      <c r="N19" s="7"/>
      <c r="O19" s="8"/>
      <c r="P19" s="7"/>
      <c r="Q19" s="7"/>
      <c r="R19" s="7"/>
      <c r="S19" s="7"/>
      <c r="T19" s="7"/>
      <c r="U19" s="7"/>
      <c r="W19" s="7"/>
      <c r="X19" s="7"/>
      <c r="Y19" s="7"/>
      <c r="Z19" s="8"/>
      <c r="AA19" s="7"/>
      <c r="AB19" s="7"/>
      <c r="AC19" s="7"/>
      <c r="AD19" s="7"/>
      <c r="AE19" s="7"/>
      <c r="AF19" s="7"/>
    </row>
    <row r="20" spans="1:32">
      <c r="A20" s="10"/>
      <c r="B20" s="478" t="s">
        <v>75</v>
      </c>
      <c r="C20" s="479" t="s">
        <v>3</v>
      </c>
      <c r="D20" s="479"/>
      <c r="E20" s="479"/>
      <c r="F20" s="479"/>
      <c r="G20" s="479"/>
      <c r="H20" s="479"/>
      <c r="I20" s="480"/>
      <c r="J20" s="294"/>
      <c r="L20" s="10"/>
      <c r="M20" s="478" t="s">
        <v>75</v>
      </c>
      <c r="N20" s="479" t="s">
        <v>3</v>
      </c>
      <c r="O20" s="479"/>
      <c r="P20" s="479"/>
      <c r="Q20" s="479"/>
      <c r="R20" s="479"/>
      <c r="S20" s="479"/>
      <c r="T20" s="480"/>
      <c r="U20" s="294"/>
      <c r="W20" s="10"/>
      <c r="X20" s="478" t="s">
        <v>75</v>
      </c>
      <c r="Y20" s="479" t="s">
        <v>3</v>
      </c>
      <c r="Z20" s="479"/>
      <c r="AA20" s="479"/>
      <c r="AB20" s="479"/>
      <c r="AC20" s="479"/>
      <c r="AD20" s="479"/>
      <c r="AE20" s="480"/>
      <c r="AF20" s="294"/>
    </row>
    <row r="21" spans="1:32">
      <c r="A21" s="12"/>
      <c r="B21" s="478"/>
      <c r="C21" s="481"/>
      <c r="D21" s="481"/>
      <c r="E21" s="481"/>
      <c r="F21" s="481"/>
      <c r="G21" s="481"/>
      <c r="H21" s="481"/>
      <c r="I21" s="482"/>
      <c r="J21" s="296"/>
      <c r="L21" s="12"/>
      <c r="M21" s="478"/>
      <c r="N21" s="481"/>
      <c r="O21" s="481"/>
      <c r="P21" s="481"/>
      <c r="Q21" s="481"/>
      <c r="R21" s="481"/>
      <c r="S21" s="481"/>
      <c r="T21" s="482"/>
      <c r="U21" s="296"/>
      <c r="W21" s="12"/>
      <c r="X21" s="478"/>
      <c r="Y21" s="481"/>
      <c r="Z21" s="481"/>
      <c r="AA21" s="481"/>
      <c r="AB21" s="481"/>
      <c r="AC21" s="481"/>
      <c r="AD21" s="481"/>
      <c r="AE21" s="482"/>
      <c r="AF21" s="296"/>
    </row>
    <row r="22" spans="1:32" ht="51" customHeight="1">
      <c r="A22" s="14"/>
      <c r="B22" s="298">
        <v>2014</v>
      </c>
      <c r="C22" s="299">
        <v>2015</v>
      </c>
      <c r="D22" s="299">
        <v>2016</v>
      </c>
      <c r="E22" s="300">
        <v>2017</v>
      </c>
      <c r="F22" s="299">
        <v>2018</v>
      </c>
      <c r="G22" s="300">
        <v>2019</v>
      </c>
      <c r="H22" s="299">
        <v>2020</v>
      </c>
      <c r="I22" s="301">
        <v>2021</v>
      </c>
      <c r="J22" s="302" t="s">
        <v>5</v>
      </c>
      <c r="L22" s="14"/>
      <c r="M22" s="298">
        <v>2014</v>
      </c>
      <c r="N22" s="299">
        <v>2015</v>
      </c>
      <c r="O22" s="299">
        <v>2016</v>
      </c>
      <c r="P22" s="300">
        <v>2017</v>
      </c>
      <c r="Q22" s="299">
        <v>2018</v>
      </c>
      <c r="R22" s="300">
        <v>2019</v>
      </c>
      <c r="S22" s="299">
        <v>2020</v>
      </c>
      <c r="T22" s="301">
        <v>2021</v>
      </c>
      <c r="U22" s="302" t="s">
        <v>5</v>
      </c>
      <c r="W22" s="14"/>
      <c r="X22" s="298">
        <v>2014</v>
      </c>
      <c r="Y22" s="299">
        <v>2015</v>
      </c>
      <c r="Z22" s="299">
        <v>2016</v>
      </c>
      <c r="AA22" s="300">
        <v>2017</v>
      </c>
      <c r="AB22" s="299">
        <v>2018</v>
      </c>
      <c r="AC22" s="300">
        <v>2019</v>
      </c>
      <c r="AD22" s="299">
        <v>2020</v>
      </c>
      <c r="AE22" s="301">
        <v>2021</v>
      </c>
      <c r="AF22" s="302" t="s">
        <v>5</v>
      </c>
    </row>
    <row r="23" spans="1:32">
      <c r="A23" s="418" t="s">
        <v>145</v>
      </c>
      <c r="B23" s="314">
        <v>43276</v>
      </c>
      <c r="C23" s="314">
        <v>45000</v>
      </c>
      <c r="D23" s="314">
        <v>45000</v>
      </c>
      <c r="E23" s="314">
        <v>42000</v>
      </c>
      <c r="F23" s="314">
        <v>42000</v>
      </c>
      <c r="G23" s="314">
        <v>42000</v>
      </c>
      <c r="H23" s="314">
        <v>39000</v>
      </c>
      <c r="I23" s="314">
        <v>39000</v>
      </c>
      <c r="J23" s="314">
        <f>SUM(B23:I23)</f>
        <v>337276</v>
      </c>
      <c r="L23" s="418" t="s">
        <v>145</v>
      </c>
      <c r="M23" s="314">
        <f>B14-B23</f>
        <v>0</v>
      </c>
      <c r="N23" s="314">
        <f t="shared" ref="N23:U25" si="2">C14-C23</f>
        <v>12434</v>
      </c>
      <c r="O23" s="314">
        <f t="shared" si="2"/>
        <v>7343.2578335685612</v>
      </c>
      <c r="P23" s="314">
        <f t="shared" si="2"/>
        <v>8892.7786255769461</v>
      </c>
      <c r="Q23" s="314">
        <f t="shared" si="2"/>
        <v>8532.0744467804252</v>
      </c>
      <c r="R23" s="314">
        <f t="shared" si="2"/>
        <v>8532.0744467804252</v>
      </c>
      <c r="S23" s="314">
        <f t="shared" si="2"/>
        <v>8555.140947945576</v>
      </c>
      <c r="T23" s="314">
        <f t="shared" si="2"/>
        <v>8555.140947945576</v>
      </c>
      <c r="U23" s="314">
        <f t="shared" si="2"/>
        <v>62844.467248597532</v>
      </c>
      <c r="W23" s="418" t="s">
        <v>145</v>
      </c>
      <c r="X23" s="419">
        <f>M23/B23</f>
        <v>0</v>
      </c>
      <c r="Y23" s="419">
        <f t="shared" ref="Y23:AF25" si="3">N23/C23</f>
        <v>0.27631111111111112</v>
      </c>
      <c r="Z23" s="419">
        <f t="shared" si="3"/>
        <v>0.16318350741263468</v>
      </c>
      <c r="AA23" s="419">
        <f t="shared" si="3"/>
        <v>0.21173282441849872</v>
      </c>
      <c r="AB23" s="419">
        <f t="shared" si="3"/>
        <v>0.20314462968524821</v>
      </c>
      <c r="AC23" s="419">
        <f t="shared" si="3"/>
        <v>0.20314462968524821</v>
      </c>
      <c r="AD23" s="419">
        <f t="shared" si="3"/>
        <v>0.21936258840886091</v>
      </c>
      <c r="AE23" s="419">
        <f t="shared" si="3"/>
        <v>0.21936258840886091</v>
      </c>
      <c r="AF23" s="419">
        <f t="shared" si="3"/>
        <v>0.18632949646164426</v>
      </c>
    </row>
    <row r="24" spans="1:32">
      <c r="A24" s="418" t="s">
        <v>146</v>
      </c>
      <c r="B24" s="314">
        <v>11464</v>
      </c>
      <c r="C24" s="314">
        <v>11500</v>
      </c>
      <c r="D24" s="314">
        <v>11000</v>
      </c>
      <c r="E24" s="314">
        <v>10500</v>
      </c>
      <c r="F24" s="314">
        <v>10000</v>
      </c>
      <c r="G24" s="314">
        <v>9500</v>
      </c>
      <c r="H24" s="314">
        <v>9000</v>
      </c>
      <c r="I24" s="314">
        <v>8500</v>
      </c>
      <c r="J24" s="314">
        <f>SUM(B24:I24)</f>
        <v>81464</v>
      </c>
      <c r="L24" s="418" t="s">
        <v>146</v>
      </c>
      <c r="M24" s="314">
        <f>B15-B24</f>
        <v>0</v>
      </c>
      <c r="N24" s="314">
        <f t="shared" si="2"/>
        <v>1534</v>
      </c>
      <c r="O24" s="314">
        <f t="shared" si="2"/>
        <v>1500</v>
      </c>
      <c r="P24" s="314">
        <f t="shared" si="2"/>
        <v>1500</v>
      </c>
      <c r="Q24" s="314">
        <f t="shared" si="2"/>
        <v>1500</v>
      </c>
      <c r="R24" s="314">
        <f t="shared" si="2"/>
        <v>1500</v>
      </c>
      <c r="S24" s="314">
        <f t="shared" si="2"/>
        <v>1500</v>
      </c>
      <c r="T24" s="314">
        <f t="shared" si="2"/>
        <v>1500</v>
      </c>
      <c r="U24" s="314">
        <f t="shared" si="2"/>
        <v>10534</v>
      </c>
      <c r="W24" s="418" t="s">
        <v>146</v>
      </c>
      <c r="X24" s="419">
        <f>M24/B24</f>
        <v>0</v>
      </c>
      <c r="Y24" s="419">
        <f t="shared" si="3"/>
        <v>0.13339130434782609</v>
      </c>
      <c r="Z24" s="419">
        <f t="shared" si="3"/>
        <v>0.13636363636363635</v>
      </c>
      <c r="AA24" s="419">
        <f t="shared" si="3"/>
        <v>0.14285714285714285</v>
      </c>
      <c r="AB24" s="419">
        <f t="shared" si="3"/>
        <v>0.15</v>
      </c>
      <c r="AC24" s="419">
        <f t="shared" si="3"/>
        <v>0.15789473684210525</v>
      </c>
      <c r="AD24" s="419">
        <f t="shared" si="3"/>
        <v>0.16666666666666666</v>
      </c>
      <c r="AE24" s="419">
        <f t="shared" si="3"/>
        <v>0.17647058823529413</v>
      </c>
      <c r="AF24" s="419">
        <f t="shared" si="3"/>
        <v>0.12930865167435923</v>
      </c>
    </row>
    <row r="25" spans="1:32">
      <c r="A25" s="418" t="s">
        <v>147</v>
      </c>
      <c r="B25" s="314">
        <f t="shared" ref="B25:I25" si="4">SUM(B23:B24)</f>
        <v>54740</v>
      </c>
      <c r="C25" s="314">
        <f t="shared" si="4"/>
        <v>56500</v>
      </c>
      <c r="D25" s="314">
        <f t="shared" si="4"/>
        <v>56000</v>
      </c>
      <c r="E25" s="314">
        <f t="shared" si="4"/>
        <v>52500</v>
      </c>
      <c r="F25" s="314">
        <f t="shared" si="4"/>
        <v>52000</v>
      </c>
      <c r="G25" s="314">
        <f t="shared" si="4"/>
        <v>51500</v>
      </c>
      <c r="H25" s="314">
        <f t="shared" si="4"/>
        <v>48000</v>
      </c>
      <c r="I25" s="314">
        <f t="shared" si="4"/>
        <v>47500</v>
      </c>
      <c r="J25" s="314">
        <f>SUM(B25:I25)</f>
        <v>418740</v>
      </c>
      <c r="L25" s="418" t="s">
        <v>147</v>
      </c>
      <c r="M25" s="314">
        <f>B16-B25</f>
        <v>0</v>
      </c>
      <c r="N25" s="314">
        <f t="shared" si="2"/>
        <v>13968</v>
      </c>
      <c r="O25" s="314">
        <f t="shared" si="2"/>
        <v>8843.2578335685612</v>
      </c>
      <c r="P25" s="314">
        <f t="shared" si="2"/>
        <v>10392.778625576946</v>
      </c>
      <c r="Q25" s="314">
        <f t="shared" si="2"/>
        <v>10032.074446780425</v>
      </c>
      <c r="R25" s="314">
        <f t="shared" si="2"/>
        <v>10032.074446780425</v>
      </c>
      <c r="S25" s="314">
        <f t="shared" si="2"/>
        <v>10055.140947945576</v>
      </c>
      <c r="T25" s="314">
        <f t="shared" si="2"/>
        <v>10055.140947945576</v>
      </c>
      <c r="U25" s="314">
        <f t="shared" si="2"/>
        <v>73378.467248597532</v>
      </c>
      <c r="W25" s="418" t="s">
        <v>147</v>
      </c>
      <c r="X25" s="419">
        <f>M25/B25</f>
        <v>0</v>
      </c>
      <c r="Y25" s="419">
        <f t="shared" si="3"/>
        <v>0.24722123893805309</v>
      </c>
      <c r="Z25" s="419">
        <f t="shared" si="3"/>
        <v>0.15791531845658144</v>
      </c>
      <c r="AA25" s="419">
        <f t="shared" si="3"/>
        <v>0.19795768810622755</v>
      </c>
      <c r="AB25" s="419">
        <f t="shared" si="3"/>
        <v>0.19292450859193125</v>
      </c>
      <c r="AC25" s="419">
        <f t="shared" si="3"/>
        <v>0.19479756207340632</v>
      </c>
      <c r="AD25" s="419">
        <f t="shared" si="3"/>
        <v>0.2094821030821995</v>
      </c>
      <c r="AE25" s="419">
        <f t="shared" si="3"/>
        <v>0.2116871778514858</v>
      </c>
      <c r="AF25" s="419">
        <f t="shared" si="3"/>
        <v>0.17523634534221122</v>
      </c>
    </row>
    <row r="27" spans="1:32" ht="14.25">
      <c r="A27" s="8" t="s">
        <v>149</v>
      </c>
      <c r="B27" s="7"/>
      <c r="C27" s="7"/>
      <c r="D27" s="8"/>
      <c r="E27" s="7"/>
      <c r="F27" s="417"/>
      <c r="G27" s="7"/>
      <c r="H27" s="7"/>
      <c r="I27" s="7"/>
      <c r="J27" s="7"/>
      <c r="L27" s="8" t="s">
        <v>104</v>
      </c>
      <c r="M27" s="7"/>
      <c r="N27" s="7"/>
      <c r="O27" s="8"/>
      <c r="P27" s="7"/>
      <c r="Q27" s="417"/>
      <c r="R27" s="7"/>
      <c r="S27" s="7"/>
      <c r="T27" s="7"/>
      <c r="U27" s="7"/>
      <c r="W27" s="8" t="s">
        <v>104</v>
      </c>
      <c r="X27" s="7"/>
      <c r="Y27" s="7"/>
      <c r="Z27" s="8"/>
      <c r="AA27" s="7"/>
      <c r="AB27" s="417"/>
      <c r="AC27" s="7"/>
      <c r="AD27" s="7"/>
      <c r="AE27" s="7"/>
      <c r="AF27" s="7"/>
    </row>
    <row r="28" spans="1:32">
      <c r="A28" s="7"/>
      <c r="B28" s="7"/>
      <c r="C28" s="7"/>
      <c r="D28" s="8"/>
      <c r="E28" s="7"/>
      <c r="F28" s="7"/>
      <c r="G28" s="7"/>
      <c r="H28" s="7"/>
      <c r="I28" s="7"/>
      <c r="J28" s="7"/>
      <c r="L28" s="7"/>
      <c r="M28" s="7"/>
      <c r="N28" s="7"/>
      <c r="O28" s="8"/>
      <c r="P28" s="7"/>
      <c r="Q28" s="7"/>
      <c r="R28" s="7"/>
      <c r="S28" s="7"/>
      <c r="T28" s="7"/>
      <c r="U28" s="7"/>
      <c r="W28" s="7"/>
      <c r="X28" s="7"/>
      <c r="Y28" s="7"/>
      <c r="Z28" s="8"/>
      <c r="AA28" s="7"/>
      <c r="AB28" s="7"/>
      <c r="AC28" s="7"/>
      <c r="AD28" s="7"/>
      <c r="AE28" s="7"/>
      <c r="AF28" s="7"/>
    </row>
    <row r="29" spans="1:32" ht="25.5">
      <c r="A29" s="14"/>
      <c r="B29" s="421" t="s">
        <v>103</v>
      </c>
      <c r="C29" s="7"/>
      <c r="D29" s="7"/>
      <c r="E29" s="7"/>
      <c r="F29" s="7"/>
      <c r="G29" s="7"/>
      <c r="H29" s="8"/>
      <c r="I29" s="7"/>
      <c r="J29" s="7"/>
      <c r="L29" s="420"/>
      <c r="M29" s="421" t="s">
        <v>103</v>
      </c>
      <c r="N29" s="7"/>
      <c r="O29" s="7"/>
      <c r="P29" s="7"/>
      <c r="Q29" s="7"/>
      <c r="R29" s="7"/>
      <c r="S29" s="8"/>
      <c r="T29" s="7"/>
      <c r="U29" s="7"/>
      <c r="W29" s="14"/>
      <c r="X29" s="421" t="s">
        <v>103</v>
      </c>
      <c r="Y29" s="7"/>
      <c r="Z29" s="7"/>
      <c r="AA29" s="7"/>
      <c r="AB29" s="7"/>
      <c r="AC29" s="7"/>
      <c r="AD29" s="8"/>
      <c r="AE29" s="7"/>
      <c r="AF29" s="7"/>
    </row>
    <row r="30" spans="1:32">
      <c r="A30" s="418" t="s">
        <v>145</v>
      </c>
      <c r="B30" s="314">
        <v>407689.86822013755</v>
      </c>
      <c r="C30" s="7"/>
      <c r="D30" s="7"/>
      <c r="E30" s="7"/>
      <c r="F30" s="7"/>
      <c r="G30" s="7"/>
      <c r="H30" s="8"/>
      <c r="I30" s="7"/>
      <c r="J30" s="7"/>
      <c r="L30" s="418" t="s">
        <v>145</v>
      </c>
      <c r="M30" s="314">
        <f>J14-B30</f>
        <v>-7569.4009715400171</v>
      </c>
      <c r="N30" s="7"/>
      <c r="O30" s="7"/>
      <c r="P30" s="7"/>
      <c r="Q30" s="7"/>
      <c r="R30" s="7"/>
      <c r="S30" s="8"/>
      <c r="T30" s="7"/>
      <c r="U30" s="7"/>
      <c r="W30" s="418" t="s">
        <v>145</v>
      </c>
      <c r="X30" s="419">
        <f>M30/B30</f>
        <v>-1.8566566308321448E-2</v>
      </c>
      <c r="Y30" s="7"/>
      <c r="Z30" s="7"/>
      <c r="AA30" s="7"/>
      <c r="AB30" s="7"/>
      <c r="AC30" s="7"/>
      <c r="AD30" s="8"/>
      <c r="AE30" s="7"/>
      <c r="AF30" s="7"/>
    </row>
    <row r="31" spans="1:32">
      <c r="A31" s="418" t="s">
        <v>146</v>
      </c>
      <c r="B31" s="314">
        <v>67040.497535831877</v>
      </c>
      <c r="L31" s="418" t="s">
        <v>146</v>
      </c>
      <c r="M31" s="314">
        <f>J15-B31</f>
        <v>24957.502464168123</v>
      </c>
      <c r="W31" s="418" t="s">
        <v>146</v>
      </c>
      <c r="X31" s="419">
        <f>M31/B31</f>
        <v>0.37227501855619149</v>
      </c>
    </row>
    <row r="32" spans="1:32">
      <c r="A32" s="418" t="s">
        <v>147</v>
      </c>
      <c r="B32" s="314">
        <v>474730.36575596943</v>
      </c>
      <c r="L32" s="418" t="s">
        <v>147</v>
      </c>
      <c r="M32" s="314">
        <f>J16-B32</f>
        <v>17388.101492628106</v>
      </c>
      <c r="W32" s="418" t="s">
        <v>147</v>
      </c>
      <c r="X32" s="419">
        <f>M32/B32</f>
        <v>3.6627320995022028E-2</v>
      </c>
    </row>
    <row r="34" spans="1:32" ht="14.25">
      <c r="A34" s="8" t="s">
        <v>150</v>
      </c>
      <c r="B34" s="7"/>
      <c r="C34" s="7"/>
      <c r="D34" s="8"/>
      <c r="E34" s="7"/>
      <c r="F34" s="417"/>
      <c r="G34" s="7"/>
      <c r="H34" s="7"/>
      <c r="I34" s="7"/>
      <c r="J34" s="7"/>
    </row>
    <row r="35" spans="1:32">
      <c r="A35" s="7"/>
      <c r="B35" s="7"/>
      <c r="C35" s="7"/>
      <c r="D35" s="8"/>
      <c r="E35" s="7"/>
      <c r="F35" s="7"/>
      <c r="G35" s="7"/>
      <c r="H35" s="7"/>
      <c r="I35" s="7"/>
      <c r="J35" s="7"/>
    </row>
    <row r="36" spans="1:32">
      <c r="A36" s="10"/>
      <c r="B36" s="478" t="s">
        <v>75</v>
      </c>
      <c r="C36" s="479" t="s">
        <v>3</v>
      </c>
      <c r="D36" s="479"/>
      <c r="E36" s="479"/>
      <c r="F36" s="479"/>
      <c r="G36" s="479"/>
      <c r="H36" s="479"/>
      <c r="I36" s="480"/>
      <c r="J36" s="294"/>
    </row>
    <row r="37" spans="1:32">
      <c r="A37" s="12"/>
      <c r="B37" s="478"/>
      <c r="C37" s="481"/>
      <c r="D37" s="481"/>
      <c r="E37" s="481"/>
      <c r="F37" s="481"/>
      <c r="G37" s="481"/>
      <c r="H37" s="481"/>
      <c r="I37" s="482"/>
      <c r="J37" s="296"/>
    </row>
    <row r="38" spans="1:32" ht="25.5">
      <c r="A38" s="14"/>
      <c r="B38" s="298">
        <v>2014</v>
      </c>
      <c r="C38" s="299">
        <v>2015</v>
      </c>
      <c r="D38" s="299">
        <v>2016</v>
      </c>
      <c r="E38" s="300">
        <v>2017</v>
      </c>
      <c r="F38" s="299">
        <v>2018</v>
      </c>
      <c r="G38" s="300">
        <v>2019</v>
      </c>
      <c r="H38" s="299">
        <v>2020</v>
      </c>
      <c r="I38" s="301">
        <v>2021</v>
      </c>
      <c r="J38" s="302" t="s">
        <v>5</v>
      </c>
    </row>
    <row r="39" spans="1:32">
      <c r="A39" s="418" t="s">
        <v>145</v>
      </c>
      <c r="B39" s="314">
        <f t="shared" ref="B39:B40" si="5">+B48</f>
        <v>22.401576119352899</v>
      </c>
      <c r="C39" s="314">
        <f>+'[6]7.2 Reliability Outputs'!$C$21/1000000</f>
        <v>30.307226</v>
      </c>
      <c r="D39" s="313">
        <v>28.618607965227042</v>
      </c>
      <c r="E39" s="313">
        <v>27.825560349673324</v>
      </c>
      <c r="F39" s="313">
        <v>27.62834581027229</v>
      </c>
      <c r="G39" s="313">
        <v>27.62834581027229</v>
      </c>
      <c r="H39" s="313">
        <v>26.000711301686756</v>
      </c>
      <c r="I39" s="313">
        <v>26.000711301686756</v>
      </c>
      <c r="J39" s="314">
        <f>SUM(B39:I39)</f>
        <v>216.41108465817135</v>
      </c>
    </row>
    <row r="40" spans="1:32">
      <c r="A40" s="418" t="s">
        <v>146</v>
      </c>
      <c r="B40" s="314">
        <f t="shared" si="5"/>
        <v>4.8207040199999893</v>
      </c>
      <c r="C40" s="314">
        <f>+'[6]7.2 Reliability Outputs'!$C$33/1000000</f>
        <v>4.168099740000005</v>
      </c>
      <c r="D40" s="313">
        <v>4.0999999999999996</v>
      </c>
      <c r="E40" s="313">
        <v>4.0999999999999996</v>
      </c>
      <c r="F40" s="313">
        <v>4</v>
      </c>
      <c r="G40" s="313">
        <v>4</v>
      </c>
      <c r="H40" s="313">
        <v>3.9</v>
      </c>
      <c r="I40" s="313">
        <v>3.9</v>
      </c>
      <c r="J40" s="314">
        <f>SUM(B40:I40)</f>
        <v>32.988803759999989</v>
      </c>
    </row>
    <row r="41" spans="1:32">
      <c r="A41" s="418" t="s">
        <v>147</v>
      </c>
      <c r="B41" s="314">
        <f t="shared" ref="B41:I41" si="6">SUM(B39:B40)</f>
        <v>27.22228013935289</v>
      </c>
      <c r="C41" s="314">
        <f t="shared" si="6"/>
        <v>34.475325740000002</v>
      </c>
      <c r="D41" s="314">
        <f t="shared" si="6"/>
        <v>32.718607965227044</v>
      </c>
      <c r="E41" s="314">
        <f t="shared" si="6"/>
        <v>31.925560349673326</v>
      </c>
      <c r="F41" s="314">
        <f t="shared" si="6"/>
        <v>31.62834581027229</v>
      </c>
      <c r="G41" s="314">
        <f t="shared" si="6"/>
        <v>31.62834581027229</v>
      </c>
      <c r="H41" s="314">
        <f t="shared" si="6"/>
        <v>29.900711301686755</v>
      </c>
      <c r="I41" s="314">
        <f t="shared" si="6"/>
        <v>29.900711301686755</v>
      </c>
      <c r="J41" s="314">
        <f>SUM(B41:I41)</f>
        <v>249.39988841817137</v>
      </c>
    </row>
    <row r="43" spans="1:32" ht="14.25">
      <c r="A43" s="8" t="s">
        <v>151</v>
      </c>
      <c r="B43" s="7"/>
      <c r="C43" s="7"/>
      <c r="D43" s="8"/>
      <c r="E43" s="7"/>
      <c r="F43" s="417"/>
      <c r="G43" s="7"/>
      <c r="H43" s="7"/>
      <c r="I43" s="7"/>
      <c r="J43" s="7"/>
      <c r="L43" s="8" t="s">
        <v>48</v>
      </c>
      <c r="M43" s="7"/>
      <c r="N43" s="7"/>
      <c r="O43" s="8"/>
      <c r="P43" s="7"/>
      <c r="Q43" s="417"/>
      <c r="R43" s="7"/>
      <c r="S43" s="7"/>
      <c r="T43" s="7"/>
      <c r="U43" s="7"/>
      <c r="W43" s="8" t="s">
        <v>49</v>
      </c>
      <c r="X43" s="7"/>
      <c r="Y43" s="7"/>
      <c r="Z43" s="8"/>
      <c r="AA43" s="7"/>
      <c r="AB43" s="417"/>
      <c r="AC43" s="7"/>
      <c r="AD43" s="7"/>
      <c r="AE43" s="7"/>
      <c r="AF43" s="7"/>
    </row>
    <row r="44" spans="1:32">
      <c r="A44" s="7"/>
      <c r="B44" s="7"/>
      <c r="C44" s="7"/>
      <c r="D44" s="8"/>
      <c r="E44" s="7"/>
      <c r="F44" s="7"/>
      <c r="G44" s="7"/>
      <c r="H44" s="7"/>
      <c r="I44" s="7"/>
      <c r="J44" s="7"/>
      <c r="L44" s="7"/>
      <c r="M44" s="7"/>
      <c r="N44" s="7"/>
      <c r="O44" s="8"/>
      <c r="P44" s="7"/>
      <c r="Q44" s="7"/>
      <c r="R44" s="7"/>
      <c r="S44" s="7"/>
      <c r="T44" s="7"/>
      <c r="U44" s="7"/>
      <c r="W44" s="7"/>
      <c r="X44" s="7"/>
      <c r="Y44" s="7"/>
      <c r="Z44" s="8"/>
      <c r="AA44" s="7"/>
      <c r="AB44" s="7"/>
      <c r="AC44" s="7"/>
      <c r="AD44" s="7"/>
      <c r="AE44" s="7"/>
      <c r="AF44" s="7"/>
    </row>
    <row r="45" spans="1:32">
      <c r="A45" s="10"/>
      <c r="B45" s="478" t="s">
        <v>75</v>
      </c>
      <c r="C45" s="479" t="s">
        <v>3</v>
      </c>
      <c r="D45" s="479"/>
      <c r="E45" s="479"/>
      <c r="F45" s="479"/>
      <c r="G45" s="479"/>
      <c r="H45" s="479"/>
      <c r="I45" s="480"/>
      <c r="J45" s="294"/>
      <c r="L45" s="10"/>
      <c r="M45" s="478" t="s">
        <v>75</v>
      </c>
      <c r="N45" s="479" t="s">
        <v>3</v>
      </c>
      <c r="O45" s="479"/>
      <c r="P45" s="479"/>
      <c r="Q45" s="479"/>
      <c r="R45" s="479"/>
      <c r="S45" s="479"/>
      <c r="T45" s="480"/>
      <c r="U45" s="294"/>
      <c r="W45" s="10"/>
      <c r="X45" s="478" t="s">
        <v>75</v>
      </c>
      <c r="Y45" s="479" t="s">
        <v>3</v>
      </c>
      <c r="Z45" s="479"/>
      <c r="AA45" s="479"/>
      <c r="AB45" s="479"/>
      <c r="AC45" s="479"/>
      <c r="AD45" s="479"/>
      <c r="AE45" s="480"/>
      <c r="AF45" s="294"/>
    </row>
    <row r="46" spans="1:32">
      <c r="A46" s="12"/>
      <c r="B46" s="478"/>
      <c r="C46" s="481"/>
      <c r="D46" s="481"/>
      <c r="E46" s="481"/>
      <c r="F46" s="481"/>
      <c r="G46" s="481"/>
      <c r="H46" s="481"/>
      <c r="I46" s="482"/>
      <c r="J46" s="296"/>
      <c r="L46" s="12"/>
      <c r="M46" s="478"/>
      <c r="N46" s="481"/>
      <c r="O46" s="481"/>
      <c r="P46" s="481"/>
      <c r="Q46" s="481"/>
      <c r="R46" s="481"/>
      <c r="S46" s="481"/>
      <c r="T46" s="482"/>
      <c r="U46" s="296"/>
      <c r="W46" s="12"/>
      <c r="X46" s="478"/>
      <c r="Y46" s="481"/>
      <c r="Z46" s="481"/>
      <c r="AA46" s="481"/>
      <c r="AB46" s="481"/>
      <c r="AC46" s="481"/>
      <c r="AD46" s="481"/>
      <c r="AE46" s="482"/>
      <c r="AF46" s="296"/>
    </row>
    <row r="47" spans="1:32" ht="51" customHeight="1">
      <c r="A47" s="14"/>
      <c r="B47" s="298">
        <v>2014</v>
      </c>
      <c r="C47" s="299">
        <v>2015</v>
      </c>
      <c r="D47" s="299">
        <v>2016</v>
      </c>
      <c r="E47" s="300">
        <v>2017</v>
      </c>
      <c r="F47" s="299">
        <v>2018</v>
      </c>
      <c r="G47" s="300">
        <v>2019</v>
      </c>
      <c r="H47" s="299">
        <v>2020</v>
      </c>
      <c r="I47" s="301">
        <v>2021</v>
      </c>
      <c r="J47" s="302" t="s">
        <v>5</v>
      </c>
      <c r="L47" s="14"/>
      <c r="M47" s="298">
        <v>2014</v>
      </c>
      <c r="N47" s="299">
        <v>2015</v>
      </c>
      <c r="O47" s="299">
        <v>2016</v>
      </c>
      <c r="P47" s="300">
        <v>2017</v>
      </c>
      <c r="Q47" s="299">
        <v>2018</v>
      </c>
      <c r="R47" s="300">
        <v>2019</v>
      </c>
      <c r="S47" s="299">
        <v>2020</v>
      </c>
      <c r="T47" s="301">
        <v>2021</v>
      </c>
      <c r="U47" s="302" t="s">
        <v>5</v>
      </c>
      <c r="W47" s="14"/>
      <c r="X47" s="298">
        <v>2014</v>
      </c>
      <c r="Y47" s="299">
        <v>2015</v>
      </c>
      <c r="Z47" s="299">
        <v>2016</v>
      </c>
      <c r="AA47" s="300">
        <v>2017</v>
      </c>
      <c r="AB47" s="299">
        <v>2018</v>
      </c>
      <c r="AC47" s="300">
        <v>2019</v>
      </c>
      <c r="AD47" s="299">
        <v>2020</v>
      </c>
      <c r="AE47" s="301">
        <v>2021</v>
      </c>
      <c r="AF47" s="302" t="s">
        <v>5</v>
      </c>
    </row>
    <row r="48" spans="1:32">
      <c r="A48" s="418" t="s">
        <v>145</v>
      </c>
      <c r="B48" s="314">
        <v>22.401576119352899</v>
      </c>
      <c r="C48" s="314">
        <v>24.4</v>
      </c>
      <c r="D48" s="314">
        <v>24.2</v>
      </c>
      <c r="E48" s="314">
        <v>22.7</v>
      </c>
      <c r="F48" s="314">
        <v>22.6</v>
      </c>
      <c r="G48" s="314">
        <v>22.5</v>
      </c>
      <c r="H48" s="314">
        <v>20.8</v>
      </c>
      <c r="I48" s="314">
        <v>20.7</v>
      </c>
      <c r="J48" s="314">
        <f>SUM(B48:I48)</f>
        <v>180.30157611935292</v>
      </c>
      <c r="L48" s="418" t="s">
        <v>145</v>
      </c>
      <c r="M48" s="314">
        <f t="shared" ref="M48:U50" si="7">B39-B48</f>
        <v>0</v>
      </c>
      <c r="N48" s="314">
        <f t="shared" si="7"/>
        <v>5.9072260000000014</v>
      </c>
      <c r="O48" s="314">
        <f t="shared" si="7"/>
        <v>4.4186079652270429</v>
      </c>
      <c r="P48" s="314">
        <f t="shared" si="7"/>
        <v>5.1255603496733251</v>
      </c>
      <c r="Q48" s="314">
        <f t="shared" si="7"/>
        <v>5.0283458102722882</v>
      </c>
      <c r="R48" s="314">
        <f t="shared" si="7"/>
        <v>5.1283458102722896</v>
      </c>
      <c r="S48" s="314">
        <f t="shared" si="7"/>
        <v>5.2007113016867557</v>
      </c>
      <c r="T48" s="314">
        <f t="shared" si="7"/>
        <v>5.3007113016867571</v>
      </c>
      <c r="U48" s="314">
        <f t="shared" si="7"/>
        <v>36.109508538818432</v>
      </c>
      <c r="W48" s="418" t="s">
        <v>145</v>
      </c>
      <c r="X48" s="419">
        <f t="shared" ref="X48:AF50" si="8">M48/B48</f>
        <v>0</v>
      </c>
      <c r="Y48" s="419">
        <f t="shared" si="8"/>
        <v>0.24209942622950828</v>
      </c>
      <c r="Z48" s="419">
        <f t="shared" si="8"/>
        <v>0.18258710600111749</v>
      </c>
      <c r="AA48" s="419">
        <f t="shared" si="8"/>
        <v>0.22579561011776764</v>
      </c>
      <c r="AB48" s="419">
        <f t="shared" si="8"/>
        <v>0.22249317744567645</v>
      </c>
      <c r="AC48" s="419">
        <f t="shared" si="8"/>
        <v>0.2279264804565462</v>
      </c>
      <c r="AD48" s="419">
        <f t="shared" si="8"/>
        <v>0.25003419719647862</v>
      </c>
      <c r="AE48" s="419">
        <f t="shared" si="8"/>
        <v>0.25607300974332159</v>
      </c>
      <c r="AF48" s="419">
        <f t="shared" si="8"/>
        <v>0.20027283907332727</v>
      </c>
    </row>
    <row r="49" spans="1:32">
      <c r="A49" s="418" t="s">
        <v>146</v>
      </c>
      <c r="B49" s="314">
        <v>4.8207040199999893</v>
      </c>
      <c r="C49" s="314">
        <v>6</v>
      </c>
      <c r="D49" s="314">
        <v>5.9</v>
      </c>
      <c r="E49" s="314">
        <v>5.8</v>
      </c>
      <c r="F49" s="314">
        <v>5.7</v>
      </c>
      <c r="G49" s="314">
        <v>5.6</v>
      </c>
      <c r="H49" s="314">
        <v>5.5</v>
      </c>
      <c r="I49" s="314">
        <v>5.4</v>
      </c>
      <c r="J49" s="314">
        <f>SUM(B49:I49)</f>
        <v>44.720704019999992</v>
      </c>
      <c r="L49" s="418" t="s">
        <v>146</v>
      </c>
      <c r="M49" s="314">
        <f t="shared" si="7"/>
        <v>0</v>
      </c>
      <c r="N49" s="314">
        <f t="shared" si="7"/>
        <v>-1.831900259999995</v>
      </c>
      <c r="O49" s="314">
        <f t="shared" si="7"/>
        <v>-1.8000000000000007</v>
      </c>
      <c r="P49" s="314">
        <f t="shared" si="7"/>
        <v>-1.7000000000000002</v>
      </c>
      <c r="Q49" s="314">
        <f t="shared" si="7"/>
        <v>-1.7000000000000002</v>
      </c>
      <c r="R49" s="314">
        <f t="shared" si="7"/>
        <v>-1.5999999999999996</v>
      </c>
      <c r="S49" s="314">
        <f t="shared" si="7"/>
        <v>-1.6</v>
      </c>
      <c r="T49" s="314">
        <f t="shared" si="7"/>
        <v>-1.5000000000000004</v>
      </c>
      <c r="U49" s="314">
        <f t="shared" si="7"/>
        <v>-11.731900260000003</v>
      </c>
      <c r="W49" s="418" t="s">
        <v>146</v>
      </c>
      <c r="X49" s="419">
        <f t="shared" si="8"/>
        <v>0</v>
      </c>
      <c r="Y49" s="419">
        <f t="shared" si="8"/>
        <v>-0.30531670999999916</v>
      </c>
      <c r="Z49" s="419">
        <f t="shared" si="8"/>
        <v>-0.30508474576271194</v>
      </c>
      <c r="AA49" s="419">
        <f t="shared" si="8"/>
        <v>-0.2931034482758621</v>
      </c>
      <c r="AB49" s="419">
        <f t="shared" si="8"/>
        <v>-0.29824561403508776</v>
      </c>
      <c r="AC49" s="419">
        <f t="shared" si="8"/>
        <v>-0.28571428571428564</v>
      </c>
      <c r="AD49" s="419">
        <f t="shared" si="8"/>
        <v>-0.29090909090909095</v>
      </c>
      <c r="AE49" s="419">
        <f t="shared" si="8"/>
        <v>-0.27777777777777785</v>
      </c>
      <c r="AF49" s="419">
        <f t="shared" si="8"/>
        <v>-0.26233711022870443</v>
      </c>
    </row>
    <row r="50" spans="1:32">
      <c r="A50" s="418" t="s">
        <v>147</v>
      </c>
      <c r="B50" s="314">
        <f t="shared" ref="B50:I50" si="9">SUM(B48:B49)</f>
        <v>27.22228013935289</v>
      </c>
      <c r="C50" s="314">
        <f t="shared" si="9"/>
        <v>30.4</v>
      </c>
      <c r="D50" s="314">
        <f t="shared" si="9"/>
        <v>30.1</v>
      </c>
      <c r="E50" s="314">
        <f t="shared" si="9"/>
        <v>28.5</v>
      </c>
      <c r="F50" s="314">
        <f t="shared" si="9"/>
        <v>28.3</v>
      </c>
      <c r="G50" s="314">
        <f t="shared" si="9"/>
        <v>28.1</v>
      </c>
      <c r="H50" s="314">
        <f t="shared" si="9"/>
        <v>26.3</v>
      </c>
      <c r="I50" s="314">
        <f t="shared" si="9"/>
        <v>26.1</v>
      </c>
      <c r="J50" s="314">
        <f>SUM(B50:I50)</f>
        <v>225.02228013935289</v>
      </c>
      <c r="L50" s="418" t="s">
        <v>147</v>
      </c>
      <c r="M50" s="314">
        <f t="shared" si="7"/>
        <v>0</v>
      </c>
      <c r="N50" s="314">
        <f t="shared" si="7"/>
        <v>4.0753257400000038</v>
      </c>
      <c r="O50" s="314">
        <f t="shared" si="7"/>
        <v>2.6186079652270422</v>
      </c>
      <c r="P50" s="314">
        <f t="shared" si="7"/>
        <v>3.4255603496733258</v>
      </c>
      <c r="Q50" s="314">
        <f t="shared" si="7"/>
        <v>3.3283458102722889</v>
      </c>
      <c r="R50" s="314">
        <f t="shared" si="7"/>
        <v>3.5283458102722882</v>
      </c>
      <c r="S50" s="314">
        <f t="shared" si="7"/>
        <v>3.6007113016867542</v>
      </c>
      <c r="T50" s="314">
        <f t="shared" si="7"/>
        <v>3.8007113016867535</v>
      </c>
      <c r="U50" s="314">
        <f t="shared" si="7"/>
        <v>24.377608278818485</v>
      </c>
      <c r="W50" s="418" t="s">
        <v>147</v>
      </c>
      <c r="X50" s="419">
        <f t="shared" si="8"/>
        <v>0</v>
      </c>
      <c r="Y50" s="419">
        <f t="shared" si="8"/>
        <v>0.13405676776315803</v>
      </c>
      <c r="Z50" s="419">
        <f t="shared" si="8"/>
        <v>8.6996942366346919E-2</v>
      </c>
      <c r="AA50" s="419">
        <f t="shared" si="8"/>
        <v>0.12019509998853775</v>
      </c>
      <c r="AB50" s="419">
        <f t="shared" si="8"/>
        <v>0.11760939258912681</v>
      </c>
      <c r="AC50" s="419">
        <f t="shared" si="8"/>
        <v>0.12556390783887145</v>
      </c>
      <c r="AD50" s="419">
        <f t="shared" si="8"/>
        <v>0.13690917496907812</v>
      </c>
      <c r="AE50" s="419">
        <f t="shared" si="8"/>
        <v>0.14562112266999055</v>
      </c>
      <c r="AF50" s="419">
        <f t="shared" si="8"/>
        <v>0.10833419812350049</v>
      </c>
    </row>
    <row r="52" spans="1:32" ht="14.25">
      <c r="A52" s="8" t="s">
        <v>152</v>
      </c>
      <c r="B52" s="7"/>
      <c r="C52" s="7"/>
      <c r="D52" s="8"/>
      <c r="E52" s="7"/>
      <c r="F52" s="417"/>
      <c r="G52" s="7"/>
      <c r="H52" s="7"/>
      <c r="I52" s="7"/>
      <c r="J52" s="7"/>
      <c r="L52" s="8" t="s">
        <v>104</v>
      </c>
      <c r="M52" s="7"/>
      <c r="N52" s="7"/>
      <c r="O52" s="8"/>
      <c r="P52" s="7"/>
      <c r="Q52" s="417"/>
      <c r="R52" s="7"/>
      <c r="S52" s="7"/>
      <c r="T52" s="7"/>
      <c r="U52" s="7"/>
      <c r="W52" s="8" t="s">
        <v>104</v>
      </c>
      <c r="X52" s="7"/>
      <c r="Y52" s="7"/>
      <c r="Z52" s="8"/>
      <c r="AA52" s="7"/>
      <c r="AB52" s="417"/>
      <c r="AC52" s="7"/>
      <c r="AD52" s="7"/>
      <c r="AE52" s="7"/>
      <c r="AF52" s="7"/>
    </row>
    <row r="53" spans="1:32">
      <c r="A53" s="7"/>
      <c r="B53" s="7"/>
      <c r="C53" s="7"/>
      <c r="D53" s="8"/>
      <c r="E53" s="7"/>
      <c r="F53" s="7"/>
      <c r="G53" s="7"/>
      <c r="H53" s="7"/>
      <c r="I53" s="7"/>
      <c r="J53" s="7"/>
      <c r="L53" s="7"/>
      <c r="M53" s="7"/>
      <c r="N53" s="7"/>
      <c r="O53" s="8"/>
      <c r="P53" s="7"/>
      <c r="Q53" s="7"/>
      <c r="R53" s="7"/>
      <c r="S53" s="7"/>
      <c r="T53" s="7"/>
      <c r="U53" s="7"/>
      <c r="W53" s="7"/>
      <c r="X53" s="7"/>
      <c r="Y53" s="7"/>
      <c r="Z53" s="8"/>
      <c r="AA53" s="7"/>
      <c r="AB53" s="7"/>
      <c r="AC53" s="7"/>
      <c r="AD53" s="7"/>
      <c r="AE53" s="7"/>
      <c r="AF53" s="7"/>
    </row>
    <row r="54" spans="1:32" ht="25.5">
      <c r="A54" s="14"/>
      <c r="B54" s="421" t="s">
        <v>103</v>
      </c>
      <c r="C54" s="7"/>
      <c r="D54" s="7"/>
      <c r="E54" s="7"/>
      <c r="F54" s="7"/>
      <c r="G54" s="7"/>
      <c r="H54" s="8"/>
      <c r="I54" s="7"/>
      <c r="J54" s="7"/>
      <c r="L54" s="420"/>
      <c r="M54" s="421" t="s">
        <v>103</v>
      </c>
      <c r="N54" s="7"/>
      <c r="O54" s="7"/>
      <c r="P54" s="7"/>
      <c r="Q54" s="7"/>
      <c r="R54" s="7"/>
      <c r="S54" s="8"/>
      <c r="T54" s="7"/>
      <c r="U54" s="7"/>
      <c r="W54" s="420"/>
      <c r="X54" s="421" t="s">
        <v>103</v>
      </c>
      <c r="Y54" s="7"/>
      <c r="Z54" s="7"/>
      <c r="AA54" s="7"/>
      <c r="AB54" s="7"/>
      <c r="AC54" s="7"/>
      <c r="AD54" s="8"/>
      <c r="AE54" s="7"/>
      <c r="AF54" s="7"/>
    </row>
    <row r="55" spans="1:32">
      <c r="A55" s="418" t="s">
        <v>145</v>
      </c>
      <c r="B55" s="314">
        <v>220.68500679440444</v>
      </c>
      <c r="C55" s="7"/>
      <c r="D55" s="7"/>
      <c r="E55" s="7"/>
      <c r="F55" s="7"/>
      <c r="G55" s="7"/>
      <c r="H55" s="8"/>
      <c r="I55" s="7"/>
      <c r="J55" s="7"/>
      <c r="L55" s="418" t="s">
        <v>145</v>
      </c>
      <c r="M55" s="314">
        <f>J39-B55</f>
        <v>-4.2739221362330966</v>
      </c>
      <c r="N55" s="7"/>
      <c r="O55" s="7"/>
      <c r="P55" s="7"/>
      <c r="Q55" s="7"/>
      <c r="R55" s="7"/>
      <c r="S55" s="8"/>
      <c r="T55" s="7"/>
      <c r="U55" s="7"/>
      <c r="W55" s="418" t="s">
        <v>145</v>
      </c>
      <c r="X55" s="419">
        <f>M55/B55</f>
        <v>-1.9366617598153314E-2</v>
      </c>
      <c r="Y55" s="7"/>
      <c r="Z55" s="7"/>
      <c r="AA55" s="7"/>
      <c r="AB55" s="7"/>
      <c r="AC55" s="7"/>
      <c r="AD55" s="8"/>
      <c r="AE55" s="7"/>
      <c r="AF55" s="7"/>
    </row>
    <row r="56" spans="1:32">
      <c r="A56" s="418" t="s">
        <v>146</v>
      </c>
      <c r="B56" s="314">
        <v>62.491819548681789</v>
      </c>
      <c r="L56" s="418" t="s">
        <v>146</v>
      </c>
      <c r="M56" s="314">
        <f>J40-B56</f>
        <v>-29.5030157886818</v>
      </c>
      <c r="W56" s="418" t="s">
        <v>146</v>
      </c>
      <c r="X56" s="419">
        <f>M56/B56</f>
        <v>-0.4721100457908517</v>
      </c>
    </row>
    <row r="57" spans="1:32">
      <c r="A57" s="418" t="s">
        <v>147</v>
      </c>
      <c r="B57" s="314">
        <v>283.17682634308625</v>
      </c>
      <c r="L57" s="418" t="s">
        <v>147</v>
      </c>
      <c r="M57" s="314">
        <f>J41-B57</f>
        <v>-33.776937924914876</v>
      </c>
      <c r="W57" s="418" t="s">
        <v>147</v>
      </c>
      <c r="X57" s="419">
        <f>M57/B57</f>
        <v>-0.11927860892116937</v>
      </c>
    </row>
    <row r="61" spans="1:32" ht="15">
      <c r="A61" s="416" t="s">
        <v>153</v>
      </c>
      <c r="B61" s="7"/>
      <c r="C61" s="7"/>
      <c r="D61" s="8"/>
      <c r="E61" s="7"/>
      <c r="F61" s="7"/>
      <c r="G61" s="7"/>
      <c r="H61" s="7"/>
      <c r="I61" s="7"/>
      <c r="J61" s="7"/>
    </row>
    <row r="62" spans="1:32">
      <c r="A62" s="7"/>
      <c r="B62" s="7"/>
      <c r="C62" s="7"/>
      <c r="D62" s="8"/>
      <c r="E62" s="7"/>
      <c r="F62" s="7"/>
      <c r="G62" s="7"/>
      <c r="H62" s="7"/>
      <c r="I62" s="7"/>
      <c r="J62" s="7"/>
    </row>
    <row r="63" spans="1:32" ht="14.25">
      <c r="A63" s="8" t="s">
        <v>154</v>
      </c>
      <c r="B63" s="7"/>
      <c r="C63" s="7"/>
      <c r="D63" s="8"/>
      <c r="E63" s="7"/>
      <c r="F63" s="417"/>
      <c r="G63" s="7"/>
      <c r="H63" s="7"/>
      <c r="I63" s="7"/>
      <c r="J63" s="7"/>
    </row>
    <row r="64" spans="1:32">
      <c r="A64" s="7"/>
      <c r="B64" s="7"/>
      <c r="C64" s="7"/>
      <c r="D64" s="8"/>
      <c r="E64" s="7"/>
      <c r="F64" s="7"/>
      <c r="G64" s="7"/>
      <c r="H64" s="7"/>
      <c r="I64" s="7"/>
      <c r="J64" s="7"/>
    </row>
    <row r="65" spans="1:32">
      <c r="A65" s="10"/>
      <c r="B65" s="478" t="s">
        <v>75</v>
      </c>
      <c r="C65" s="479" t="s">
        <v>3</v>
      </c>
      <c r="D65" s="479"/>
      <c r="E65" s="479"/>
      <c r="F65" s="479"/>
      <c r="G65" s="479"/>
      <c r="H65" s="479"/>
      <c r="I65" s="480"/>
      <c r="J65" s="294"/>
    </row>
    <row r="66" spans="1:32">
      <c r="A66" s="12"/>
      <c r="B66" s="478"/>
      <c r="C66" s="481"/>
      <c r="D66" s="481"/>
      <c r="E66" s="481"/>
      <c r="F66" s="481"/>
      <c r="G66" s="481"/>
      <c r="H66" s="481"/>
      <c r="I66" s="482"/>
      <c r="J66" s="296"/>
    </row>
    <row r="67" spans="1:32" ht="25.5">
      <c r="A67" s="14"/>
      <c r="B67" s="298">
        <v>2014</v>
      </c>
      <c r="C67" s="299">
        <v>2015</v>
      </c>
      <c r="D67" s="299">
        <v>2016</v>
      </c>
      <c r="E67" s="300">
        <v>2017</v>
      </c>
      <c r="F67" s="299">
        <v>2018</v>
      </c>
      <c r="G67" s="300">
        <v>2019</v>
      </c>
      <c r="H67" s="299">
        <v>2020</v>
      </c>
      <c r="I67" s="301">
        <v>2021</v>
      </c>
      <c r="J67" s="302" t="s">
        <v>5</v>
      </c>
    </row>
    <row r="68" spans="1:32">
      <c r="A68" s="418" t="s">
        <v>155</v>
      </c>
      <c r="B68" s="314">
        <f>+B75</f>
        <v>105</v>
      </c>
      <c r="C68" s="313">
        <v>63</v>
      </c>
      <c r="D68" s="313">
        <v>130.32</v>
      </c>
      <c r="E68" s="313">
        <v>119.52000000000001</v>
      </c>
      <c r="F68" s="313">
        <v>108.72</v>
      </c>
      <c r="G68" s="313">
        <v>97.92</v>
      </c>
      <c r="H68" s="313">
        <v>92.16</v>
      </c>
      <c r="I68" s="313">
        <v>86.4</v>
      </c>
      <c r="J68" s="314">
        <f>SUM(B68:I68)</f>
        <v>803.04</v>
      </c>
    </row>
    <row r="70" spans="1:32" ht="14.25">
      <c r="A70" s="8" t="s">
        <v>156</v>
      </c>
      <c r="B70" s="7"/>
      <c r="C70" s="7"/>
      <c r="D70" s="8"/>
      <c r="E70" s="7"/>
      <c r="F70" s="417"/>
      <c r="G70" s="7"/>
      <c r="H70" s="7"/>
      <c r="I70" s="7"/>
      <c r="J70" s="7"/>
      <c r="L70" s="8" t="s">
        <v>48</v>
      </c>
      <c r="M70" s="7"/>
      <c r="N70" s="7"/>
      <c r="O70" s="8"/>
      <c r="P70" s="7"/>
      <c r="Q70" s="417"/>
      <c r="R70" s="7"/>
      <c r="S70" s="7"/>
      <c r="T70" s="7"/>
      <c r="U70" s="7"/>
      <c r="W70" s="8" t="s">
        <v>49</v>
      </c>
      <c r="X70" s="7"/>
      <c r="Y70" s="7"/>
      <c r="Z70" s="8"/>
      <c r="AA70" s="7"/>
      <c r="AB70" s="417"/>
      <c r="AC70" s="7"/>
      <c r="AD70" s="7"/>
      <c r="AE70" s="7"/>
      <c r="AF70" s="7"/>
    </row>
    <row r="71" spans="1:32">
      <c r="A71" s="7"/>
      <c r="B71" s="7"/>
      <c r="C71" s="7"/>
      <c r="D71" s="8"/>
      <c r="E71" s="7"/>
      <c r="F71" s="7"/>
      <c r="G71" s="7"/>
      <c r="H71" s="7"/>
      <c r="I71" s="7"/>
      <c r="J71" s="7"/>
      <c r="L71" s="7"/>
      <c r="M71" s="7"/>
      <c r="N71" s="7"/>
      <c r="O71" s="8"/>
      <c r="P71" s="7"/>
      <c r="Q71" s="7"/>
      <c r="R71" s="7"/>
      <c r="S71" s="7"/>
      <c r="T71" s="7"/>
      <c r="U71" s="7"/>
      <c r="W71" s="7"/>
      <c r="X71" s="7"/>
      <c r="Y71" s="7"/>
      <c r="Z71" s="8"/>
      <c r="AA71" s="7"/>
      <c r="AB71" s="7"/>
      <c r="AC71" s="7"/>
      <c r="AD71" s="7"/>
      <c r="AE71" s="7"/>
      <c r="AF71" s="7"/>
    </row>
    <row r="72" spans="1:32">
      <c r="A72" s="10"/>
      <c r="B72" s="478" t="s">
        <v>75</v>
      </c>
      <c r="C72" s="479" t="s">
        <v>3</v>
      </c>
      <c r="D72" s="479"/>
      <c r="E72" s="479"/>
      <c r="F72" s="479"/>
      <c r="G72" s="479"/>
      <c r="H72" s="479"/>
      <c r="I72" s="480"/>
      <c r="J72" s="294"/>
      <c r="L72" s="10"/>
      <c r="M72" s="478" t="s">
        <v>75</v>
      </c>
      <c r="N72" s="479" t="s">
        <v>3</v>
      </c>
      <c r="O72" s="479"/>
      <c r="P72" s="479"/>
      <c r="Q72" s="479"/>
      <c r="R72" s="479"/>
      <c r="S72" s="479"/>
      <c r="T72" s="480"/>
      <c r="U72" s="294"/>
      <c r="W72" s="10"/>
      <c r="X72" s="478" t="s">
        <v>75</v>
      </c>
      <c r="Y72" s="479" t="s">
        <v>3</v>
      </c>
      <c r="Z72" s="479"/>
      <c r="AA72" s="479"/>
      <c r="AB72" s="479"/>
      <c r="AC72" s="479"/>
      <c r="AD72" s="479"/>
      <c r="AE72" s="480"/>
      <c r="AF72" s="294"/>
    </row>
    <row r="73" spans="1:32">
      <c r="A73" s="12"/>
      <c r="B73" s="478"/>
      <c r="C73" s="481"/>
      <c r="D73" s="481"/>
      <c r="E73" s="481"/>
      <c r="F73" s="481"/>
      <c r="G73" s="481"/>
      <c r="H73" s="481"/>
      <c r="I73" s="482"/>
      <c r="J73" s="296"/>
      <c r="L73" s="12"/>
      <c r="M73" s="478"/>
      <c r="N73" s="481"/>
      <c r="O73" s="481"/>
      <c r="P73" s="481"/>
      <c r="Q73" s="481"/>
      <c r="R73" s="481"/>
      <c r="S73" s="481"/>
      <c r="T73" s="482"/>
      <c r="U73" s="296"/>
      <c r="W73" s="12"/>
      <c r="X73" s="478"/>
      <c r="Y73" s="481"/>
      <c r="Z73" s="481"/>
      <c r="AA73" s="481"/>
      <c r="AB73" s="481"/>
      <c r="AC73" s="481"/>
      <c r="AD73" s="481"/>
      <c r="AE73" s="482"/>
      <c r="AF73" s="296"/>
    </row>
    <row r="74" spans="1:32" ht="51" customHeight="1">
      <c r="A74" s="14"/>
      <c r="B74" s="298">
        <v>2014</v>
      </c>
      <c r="C74" s="299">
        <v>2015</v>
      </c>
      <c r="D74" s="299">
        <v>2016</v>
      </c>
      <c r="E74" s="300">
        <v>2017</v>
      </c>
      <c r="F74" s="299">
        <v>2018</v>
      </c>
      <c r="G74" s="300">
        <v>2019</v>
      </c>
      <c r="H74" s="299">
        <v>2020</v>
      </c>
      <c r="I74" s="301">
        <v>2021</v>
      </c>
      <c r="J74" s="302" t="s">
        <v>5</v>
      </c>
      <c r="L74" s="14"/>
      <c r="M74" s="298">
        <v>2014</v>
      </c>
      <c r="N74" s="299">
        <v>2015</v>
      </c>
      <c r="O74" s="299">
        <v>2016</v>
      </c>
      <c r="P74" s="300">
        <v>2017</v>
      </c>
      <c r="Q74" s="299">
        <v>2018</v>
      </c>
      <c r="R74" s="300">
        <v>2019</v>
      </c>
      <c r="S74" s="299">
        <v>2020</v>
      </c>
      <c r="T74" s="301">
        <v>2021</v>
      </c>
      <c r="U74" s="302" t="s">
        <v>5</v>
      </c>
      <c r="W74" s="14"/>
      <c r="X74" s="298">
        <v>2014</v>
      </c>
      <c r="Y74" s="299">
        <v>2015</v>
      </c>
      <c r="Z74" s="299">
        <v>2016</v>
      </c>
      <c r="AA74" s="300">
        <v>2017</v>
      </c>
      <c r="AB74" s="299">
        <v>2018</v>
      </c>
      <c r="AC74" s="300">
        <v>2019</v>
      </c>
      <c r="AD74" s="299">
        <v>2020</v>
      </c>
      <c r="AE74" s="301">
        <v>2021</v>
      </c>
      <c r="AF74" s="302" t="s">
        <v>5</v>
      </c>
    </row>
    <row r="75" spans="1:32">
      <c r="A75" s="418" t="s">
        <v>155</v>
      </c>
      <c r="B75" s="314">
        <v>105</v>
      </c>
      <c r="C75" s="314">
        <v>176.4</v>
      </c>
      <c r="D75" s="314">
        <v>162.9</v>
      </c>
      <c r="E75" s="314">
        <v>149.4</v>
      </c>
      <c r="F75" s="314">
        <v>135.9</v>
      </c>
      <c r="G75" s="314">
        <v>122.4</v>
      </c>
      <c r="H75" s="314">
        <v>115.2</v>
      </c>
      <c r="I75" s="314">
        <v>108</v>
      </c>
      <c r="J75" s="314">
        <f>SUM(B75:I75)</f>
        <v>1075.1999999999998</v>
      </c>
      <c r="L75" s="418" t="s">
        <v>155</v>
      </c>
      <c r="M75" s="314">
        <f>B68-B75</f>
        <v>0</v>
      </c>
      <c r="N75" s="314">
        <f t="shared" ref="N75:U75" si="10">C68-C75</f>
        <v>-113.4</v>
      </c>
      <c r="O75" s="314">
        <f t="shared" si="10"/>
        <v>-32.580000000000013</v>
      </c>
      <c r="P75" s="314">
        <f t="shared" si="10"/>
        <v>-29.879999999999995</v>
      </c>
      <c r="Q75" s="314">
        <f t="shared" si="10"/>
        <v>-27.180000000000007</v>
      </c>
      <c r="R75" s="314">
        <f t="shared" si="10"/>
        <v>-24.480000000000004</v>
      </c>
      <c r="S75" s="314">
        <f t="shared" si="10"/>
        <v>-23.040000000000006</v>
      </c>
      <c r="T75" s="314">
        <f t="shared" si="10"/>
        <v>-21.599999999999994</v>
      </c>
      <c r="U75" s="314">
        <f t="shared" si="10"/>
        <v>-272.15999999999985</v>
      </c>
      <c r="W75" s="418" t="s">
        <v>155</v>
      </c>
      <c r="X75" s="419">
        <f>M75/B75</f>
        <v>0</v>
      </c>
      <c r="Y75" s="419">
        <f t="shared" ref="Y75:AF75" si="11">N75/C75</f>
        <v>-0.6428571428571429</v>
      </c>
      <c r="Z75" s="419">
        <f t="shared" si="11"/>
        <v>-0.20000000000000007</v>
      </c>
      <c r="AA75" s="419">
        <f t="shared" si="11"/>
        <v>-0.19999999999999996</v>
      </c>
      <c r="AB75" s="419">
        <f t="shared" si="11"/>
        <v>-0.20000000000000004</v>
      </c>
      <c r="AC75" s="419">
        <f t="shared" si="11"/>
        <v>-0.2</v>
      </c>
      <c r="AD75" s="419">
        <f t="shared" si="11"/>
        <v>-0.20000000000000004</v>
      </c>
      <c r="AE75" s="419">
        <f t="shared" si="11"/>
        <v>-0.19999999999999996</v>
      </c>
      <c r="AF75" s="419">
        <f t="shared" si="11"/>
        <v>-0.25312499999999993</v>
      </c>
    </row>
    <row r="77" spans="1:32" ht="14.25">
      <c r="A77" s="8" t="s">
        <v>157</v>
      </c>
      <c r="B77" s="7"/>
      <c r="C77" s="7"/>
      <c r="D77" s="8"/>
      <c r="E77" s="7"/>
      <c r="F77" s="417"/>
      <c r="G77" s="7"/>
      <c r="H77" s="7"/>
      <c r="I77" s="7"/>
      <c r="J77" s="7"/>
      <c r="L77" s="8" t="s">
        <v>104</v>
      </c>
      <c r="M77" s="7"/>
      <c r="N77" s="7"/>
      <c r="O77" s="8"/>
      <c r="P77" s="7"/>
      <c r="Q77" s="417"/>
      <c r="R77" s="7"/>
      <c r="S77" s="7"/>
      <c r="T77" s="7"/>
      <c r="U77" s="7"/>
      <c r="W77" s="8" t="s">
        <v>105</v>
      </c>
      <c r="X77" s="7"/>
      <c r="Y77" s="7"/>
      <c r="Z77" s="8"/>
      <c r="AA77" s="7"/>
      <c r="AB77" s="417"/>
      <c r="AC77" s="7"/>
      <c r="AD77" s="7"/>
      <c r="AE77" s="7"/>
      <c r="AF77" s="7"/>
    </row>
    <row r="78" spans="1:32">
      <c r="A78" s="7"/>
      <c r="B78" s="7"/>
      <c r="C78" s="7"/>
      <c r="D78" s="8"/>
      <c r="E78" s="7"/>
      <c r="F78" s="7"/>
      <c r="G78" s="7"/>
      <c r="H78" s="7"/>
      <c r="I78" s="7"/>
      <c r="J78" s="7"/>
      <c r="L78" s="7"/>
      <c r="M78" s="7"/>
      <c r="N78" s="7"/>
      <c r="O78" s="8"/>
      <c r="P78" s="7"/>
      <c r="Q78" s="7"/>
      <c r="R78" s="7"/>
      <c r="S78" s="7"/>
      <c r="T78" s="7"/>
      <c r="U78" s="7"/>
      <c r="W78" s="7"/>
      <c r="X78" s="7"/>
      <c r="Y78" s="7"/>
      <c r="Z78" s="8"/>
      <c r="AA78" s="7"/>
      <c r="AB78" s="7"/>
      <c r="AC78" s="7"/>
      <c r="AD78" s="7"/>
      <c r="AE78" s="7"/>
      <c r="AF78" s="7"/>
    </row>
    <row r="79" spans="1:32" ht="12.75" customHeight="1">
      <c r="A79" s="10"/>
      <c r="B79" s="498" t="s">
        <v>158</v>
      </c>
      <c r="C79" s="499"/>
      <c r="D79" s="499"/>
      <c r="E79" s="499"/>
      <c r="F79" s="499"/>
      <c r="G79" s="499"/>
      <c r="H79" s="499"/>
      <c r="I79" s="499"/>
      <c r="J79" s="500"/>
      <c r="L79" s="10"/>
      <c r="M79" s="498" t="s">
        <v>158</v>
      </c>
      <c r="N79" s="499"/>
      <c r="O79" s="499"/>
      <c r="P79" s="499"/>
      <c r="Q79" s="499"/>
      <c r="R79" s="499"/>
      <c r="S79" s="499"/>
      <c r="T79" s="499"/>
      <c r="U79" s="500"/>
      <c r="W79" s="10"/>
      <c r="X79" s="498" t="s">
        <v>158</v>
      </c>
      <c r="Y79" s="499"/>
      <c r="Z79" s="499"/>
      <c r="AA79" s="499"/>
      <c r="AB79" s="499"/>
      <c r="AC79" s="499"/>
      <c r="AD79" s="499"/>
      <c r="AE79" s="499"/>
      <c r="AF79" s="500"/>
    </row>
    <row r="80" spans="1:32">
      <c r="A80" s="14"/>
      <c r="B80" s="298">
        <v>2014</v>
      </c>
      <c r="C80" s="299">
        <v>2015</v>
      </c>
      <c r="D80" s="299">
        <v>2016</v>
      </c>
      <c r="E80" s="300">
        <v>2017</v>
      </c>
      <c r="F80" s="299">
        <v>2018</v>
      </c>
      <c r="G80" s="300">
        <v>2019</v>
      </c>
      <c r="H80" s="299">
        <v>2020</v>
      </c>
      <c r="I80" s="301">
        <v>2021</v>
      </c>
      <c r="J80" s="302" t="s">
        <v>65</v>
      </c>
      <c r="L80" s="14"/>
      <c r="M80" s="298">
        <v>2014</v>
      </c>
      <c r="N80" s="299">
        <v>2015</v>
      </c>
      <c r="O80" s="299">
        <v>2016</v>
      </c>
      <c r="P80" s="300">
        <v>2017</v>
      </c>
      <c r="Q80" s="299">
        <v>2018</v>
      </c>
      <c r="R80" s="300">
        <v>2019</v>
      </c>
      <c r="S80" s="299">
        <v>2020</v>
      </c>
      <c r="T80" s="301">
        <v>2021</v>
      </c>
      <c r="U80" s="302" t="s">
        <v>65</v>
      </c>
      <c r="W80" s="14"/>
      <c r="X80" s="298">
        <v>2014</v>
      </c>
      <c r="Y80" s="299">
        <v>2015</v>
      </c>
      <c r="Z80" s="299">
        <v>2016</v>
      </c>
      <c r="AA80" s="300">
        <v>2017</v>
      </c>
      <c r="AB80" s="299">
        <v>2018</v>
      </c>
      <c r="AC80" s="300">
        <v>2019</v>
      </c>
      <c r="AD80" s="299">
        <v>2020</v>
      </c>
      <c r="AE80" s="301">
        <v>2021</v>
      </c>
      <c r="AF80" s="302" t="s">
        <v>65</v>
      </c>
    </row>
    <row r="81" spans="1:32">
      <c r="A81" s="418" t="s">
        <v>155</v>
      </c>
      <c r="B81" s="314">
        <v>211</v>
      </c>
      <c r="C81" s="314">
        <v>196</v>
      </c>
      <c r="D81" s="314">
        <v>181</v>
      </c>
      <c r="E81" s="314">
        <v>166</v>
      </c>
      <c r="F81" s="314">
        <v>151</v>
      </c>
      <c r="G81" s="314">
        <v>136</v>
      </c>
      <c r="H81" s="314">
        <v>128</v>
      </c>
      <c r="I81" s="314">
        <v>120</v>
      </c>
      <c r="J81" s="314">
        <f>SUM(B81:I81)</f>
        <v>1289</v>
      </c>
      <c r="L81" s="418" t="s">
        <v>155</v>
      </c>
      <c r="M81" s="314">
        <f t="shared" ref="M81:U81" si="12">B68-B81</f>
        <v>-106</v>
      </c>
      <c r="N81" s="314">
        <f t="shared" si="12"/>
        <v>-133</v>
      </c>
      <c r="O81" s="314">
        <f t="shared" si="12"/>
        <v>-50.680000000000007</v>
      </c>
      <c r="P81" s="314">
        <f t="shared" si="12"/>
        <v>-46.47999999999999</v>
      </c>
      <c r="Q81" s="314">
        <f t="shared" si="12"/>
        <v>-42.28</v>
      </c>
      <c r="R81" s="314">
        <f t="shared" si="12"/>
        <v>-38.08</v>
      </c>
      <c r="S81" s="314">
        <f t="shared" si="12"/>
        <v>-35.840000000000003</v>
      </c>
      <c r="T81" s="314">
        <f t="shared" si="12"/>
        <v>-33.599999999999994</v>
      </c>
      <c r="U81" s="314">
        <f t="shared" si="12"/>
        <v>-485.96000000000004</v>
      </c>
      <c r="W81" s="418" t="s">
        <v>155</v>
      </c>
      <c r="X81" s="419">
        <f t="shared" ref="X81:AF81" si="13">M81/B81</f>
        <v>-0.50236966824644547</v>
      </c>
      <c r="Y81" s="419">
        <f t="shared" si="13"/>
        <v>-0.6785714285714286</v>
      </c>
      <c r="Z81" s="419">
        <f t="shared" si="13"/>
        <v>-0.28000000000000003</v>
      </c>
      <c r="AA81" s="419">
        <f t="shared" si="13"/>
        <v>-0.27999999999999992</v>
      </c>
      <c r="AB81" s="419">
        <f t="shared" si="13"/>
        <v>-0.28000000000000003</v>
      </c>
      <c r="AC81" s="419">
        <f t="shared" si="13"/>
        <v>-0.27999999999999997</v>
      </c>
      <c r="AD81" s="419">
        <f t="shared" si="13"/>
        <v>-0.28000000000000003</v>
      </c>
      <c r="AE81" s="419">
        <f t="shared" si="13"/>
        <v>-0.27999999999999997</v>
      </c>
      <c r="AF81" s="419">
        <f t="shared" si="13"/>
        <v>-0.37700543056633051</v>
      </c>
    </row>
    <row r="84" spans="1:32" ht="15">
      <c r="A84" s="416" t="s">
        <v>159</v>
      </c>
    </row>
    <row r="86" spans="1:32" ht="27.75" customHeight="1">
      <c r="A86" s="497" t="s">
        <v>160</v>
      </c>
      <c r="B86" s="497"/>
      <c r="C86" s="497"/>
      <c r="D86" s="497"/>
      <c r="E86" s="497"/>
      <c r="F86" s="497"/>
      <c r="G86" s="497"/>
      <c r="H86" s="497"/>
      <c r="I86" s="497"/>
      <c r="J86" s="497"/>
    </row>
    <row r="87" spans="1:32">
      <c r="A87" s="7"/>
      <c r="B87" s="7"/>
      <c r="C87" s="7"/>
      <c r="D87" s="8"/>
      <c r="E87" s="7"/>
      <c r="F87" s="7"/>
      <c r="G87" s="7"/>
      <c r="H87" s="7"/>
      <c r="I87" s="7"/>
      <c r="J87" s="7"/>
    </row>
    <row r="88" spans="1:32">
      <c r="A88" s="10"/>
      <c r="B88" s="478" t="s">
        <v>75</v>
      </c>
      <c r="C88" s="479" t="s">
        <v>3</v>
      </c>
      <c r="D88" s="479"/>
      <c r="E88" s="479"/>
      <c r="F88" s="479"/>
      <c r="G88" s="479"/>
      <c r="H88" s="479"/>
      <c r="I88" s="480"/>
      <c r="J88" s="294"/>
    </row>
    <row r="89" spans="1:32">
      <c r="A89" s="12"/>
      <c r="B89" s="478"/>
      <c r="C89" s="481"/>
      <c r="D89" s="481"/>
      <c r="E89" s="481"/>
      <c r="F89" s="481"/>
      <c r="G89" s="481"/>
      <c r="H89" s="481"/>
      <c r="I89" s="482"/>
      <c r="J89" s="296"/>
    </row>
    <row r="90" spans="1:32" ht="25.5">
      <c r="A90" s="14"/>
      <c r="B90" s="298">
        <v>2014</v>
      </c>
      <c r="C90" s="299">
        <v>2015</v>
      </c>
      <c r="D90" s="299">
        <v>2016</v>
      </c>
      <c r="E90" s="300">
        <v>2017</v>
      </c>
      <c r="F90" s="299">
        <v>2018</v>
      </c>
      <c r="G90" s="300">
        <v>2019</v>
      </c>
      <c r="H90" s="299">
        <v>2020</v>
      </c>
      <c r="I90" s="301">
        <v>2021</v>
      </c>
      <c r="J90" s="302" t="s">
        <v>5</v>
      </c>
    </row>
    <row r="91" spans="1:32">
      <c r="A91" s="418" t="s">
        <v>161</v>
      </c>
      <c r="B91" s="445">
        <f>+B98</f>
        <v>0.42592592592592593</v>
      </c>
      <c r="C91" s="439">
        <v>0.26267281105990781</v>
      </c>
      <c r="D91" s="439">
        <v>0.5</v>
      </c>
      <c r="E91" s="439">
        <v>0.5</v>
      </c>
      <c r="F91" s="439">
        <v>0.49</v>
      </c>
      <c r="G91" s="439">
        <v>0.49</v>
      </c>
      <c r="H91" s="439">
        <v>0.48</v>
      </c>
      <c r="I91" s="439">
        <v>0.47</v>
      </c>
      <c r="J91" s="314"/>
    </row>
    <row r="93" spans="1:32" ht="31.5" customHeight="1">
      <c r="A93" s="497" t="s">
        <v>162</v>
      </c>
      <c r="B93" s="497"/>
      <c r="C93" s="497"/>
      <c r="D93" s="497"/>
      <c r="E93" s="497"/>
      <c r="F93" s="497"/>
      <c r="G93" s="497"/>
      <c r="H93" s="497"/>
      <c r="I93" s="497"/>
      <c r="J93" s="497"/>
      <c r="L93" s="497" t="s">
        <v>48</v>
      </c>
      <c r="M93" s="497"/>
      <c r="N93" s="497"/>
      <c r="O93" s="497"/>
      <c r="P93" s="497"/>
      <c r="Q93" s="497"/>
      <c r="R93" s="497"/>
      <c r="S93" s="497"/>
      <c r="T93" s="497"/>
      <c r="U93" s="497"/>
      <c r="W93" s="497" t="s">
        <v>49</v>
      </c>
      <c r="X93" s="497"/>
      <c r="Y93" s="497"/>
      <c r="Z93" s="497"/>
      <c r="AA93" s="497"/>
      <c r="AB93" s="497"/>
      <c r="AC93" s="497"/>
      <c r="AD93" s="497"/>
      <c r="AE93" s="497"/>
      <c r="AF93" s="497"/>
    </row>
    <row r="94" spans="1:32">
      <c r="A94" s="7"/>
      <c r="B94" s="7"/>
      <c r="C94" s="7"/>
      <c r="D94" s="8"/>
      <c r="E94" s="7"/>
      <c r="F94" s="7"/>
      <c r="G94" s="7"/>
      <c r="H94" s="7"/>
      <c r="I94" s="7"/>
      <c r="J94" s="7"/>
      <c r="L94" s="7"/>
      <c r="M94" s="7"/>
      <c r="N94" s="7"/>
      <c r="O94" s="8"/>
      <c r="P94" s="7"/>
      <c r="Q94" s="7"/>
      <c r="R94" s="7"/>
      <c r="S94" s="7"/>
      <c r="T94" s="7"/>
      <c r="U94" s="7"/>
      <c r="W94" s="7"/>
      <c r="X94" s="7"/>
      <c r="Y94" s="7"/>
      <c r="Z94" s="8"/>
      <c r="AA94" s="7"/>
      <c r="AB94" s="7"/>
      <c r="AC94" s="7"/>
      <c r="AD94" s="7"/>
      <c r="AE94" s="7"/>
      <c r="AF94" s="7"/>
    </row>
    <row r="95" spans="1:32">
      <c r="A95" s="10"/>
      <c r="B95" s="478" t="s">
        <v>75</v>
      </c>
      <c r="C95" s="479" t="s">
        <v>3</v>
      </c>
      <c r="D95" s="479"/>
      <c r="E95" s="479"/>
      <c r="F95" s="479"/>
      <c r="G95" s="479"/>
      <c r="H95" s="479"/>
      <c r="I95" s="480"/>
      <c r="J95" s="294"/>
      <c r="L95" s="10"/>
      <c r="M95" s="478" t="s">
        <v>75</v>
      </c>
      <c r="N95" s="479" t="s">
        <v>3</v>
      </c>
      <c r="O95" s="479"/>
      <c r="P95" s="479"/>
      <c r="Q95" s="479"/>
      <c r="R95" s="479"/>
      <c r="S95" s="479"/>
      <c r="T95" s="480"/>
      <c r="U95" s="294"/>
      <c r="W95" s="10"/>
      <c r="X95" s="478" t="s">
        <v>75</v>
      </c>
      <c r="Y95" s="479" t="s">
        <v>3</v>
      </c>
      <c r="Z95" s="479"/>
      <c r="AA95" s="479"/>
      <c r="AB95" s="479"/>
      <c r="AC95" s="479"/>
      <c r="AD95" s="479"/>
      <c r="AE95" s="480"/>
      <c r="AF95" s="294"/>
    </row>
    <row r="96" spans="1:32">
      <c r="A96" s="12"/>
      <c r="B96" s="478"/>
      <c r="C96" s="481"/>
      <c r="D96" s="481"/>
      <c r="E96" s="481"/>
      <c r="F96" s="481"/>
      <c r="G96" s="481"/>
      <c r="H96" s="481"/>
      <c r="I96" s="482"/>
      <c r="J96" s="296"/>
      <c r="L96" s="12"/>
      <c r="M96" s="478"/>
      <c r="N96" s="481"/>
      <c r="O96" s="481"/>
      <c r="P96" s="481"/>
      <c r="Q96" s="481"/>
      <c r="R96" s="481"/>
      <c r="S96" s="481"/>
      <c r="T96" s="482"/>
      <c r="U96" s="296"/>
      <c r="W96" s="12"/>
      <c r="X96" s="478"/>
      <c r="Y96" s="481"/>
      <c r="Z96" s="481"/>
      <c r="AA96" s="481"/>
      <c r="AB96" s="481"/>
      <c r="AC96" s="481"/>
      <c r="AD96" s="481"/>
      <c r="AE96" s="482"/>
      <c r="AF96" s="296"/>
    </row>
    <row r="97" spans="1:32" ht="51" customHeight="1">
      <c r="A97" s="14"/>
      <c r="B97" s="298">
        <v>2014</v>
      </c>
      <c r="C97" s="299">
        <v>2015</v>
      </c>
      <c r="D97" s="299">
        <v>2016</v>
      </c>
      <c r="E97" s="300">
        <v>2017</v>
      </c>
      <c r="F97" s="299">
        <v>2018</v>
      </c>
      <c r="G97" s="300">
        <v>2019</v>
      </c>
      <c r="H97" s="299">
        <v>2020</v>
      </c>
      <c r="I97" s="301">
        <v>2021</v>
      </c>
      <c r="J97" s="302" t="s">
        <v>5</v>
      </c>
      <c r="L97" s="14"/>
      <c r="M97" s="298">
        <v>2014</v>
      </c>
      <c r="N97" s="299">
        <v>2015</v>
      </c>
      <c r="O97" s="299">
        <v>2016</v>
      </c>
      <c r="P97" s="300">
        <v>2017</v>
      </c>
      <c r="Q97" s="299">
        <v>2018</v>
      </c>
      <c r="R97" s="300">
        <v>2019</v>
      </c>
      <c r="S97" s="299">
        <v>2020</v>
      </c>
      <c r="T97" s="301">
        <v>2021</v>
      </c>
      <c r="U97" s="302" t="s">
        <v>5</v>
      </c>
      <c r="W97" s="14"/>
      <c r="X97" s="298">
        <v>2014</v>
      </c>
      <c r="Y97" s="299">
        <v>2015</v>
      </c>
      <c r="Z97" s="299">
        <v>2016</v>
      </c>
      <c r="AA97" s="300">
        <v>2017</v>
      </c>
      <c r="AB97" s="299">
        <v>2018</v>
      </c>
      <c r="AC97" s="300">
        <v>2019</v>
      </c>
      <c r="AD97" s="299">
        <v>2020</v>
      </c>
      <c r="AE97" s="301">
        <v>2021</v>
      </c>
      <c r="AF97" s="302" t="s">
        <v>5</v>
      </c>
    </row>
    <row r="98" spans="1:32">
      <c r="A98" s="418" t="s">
        <v>161</v>
      </c>
      <c r="B98" s="445">
        <v>0.42592592592592593</v>
      </c>
      <c r="C98" s="445">
        <v>0.51</v>
      </c>
      <c r="D98" s="445">
        <v>0.5</v>
      </c>
      <c r="E98" s="445">
        <v>0.5</v>
      </c>
      <c r="F98" s="445">
        <v>0.49</v>
      </c>
      <c r="G98" s="445">
        <v>0.49</v>
      </c>
      <c r="H98" s="445">
        <v>0.48</v>
      </c>
      <c r="I98" s="445">
        <v>0.47</v>
      </c>
      <c r="J98" s="445"/>
      <c r="L98" s="418" t="s">
        <v>161</v>
      </c>
      <c r="M98" s="446">
        <f>B91-B98</f>
        <v>0</v>
      </c>
      <c r="N98" s="446">
        <f t="shared" ref="N98:T98" si="14">C91-C98</f>
        <v>-0.2473271889400922</v>
      </c>
      <c r="O98" s="446">
        <f t="shared" si="14"/>
        <v>0</v>
      </c>
      <c r="P98" s="446">
        <f t="shared" si="14"/>
        <v>0</v>
      </c>
      <c r="Q98" s="446">
        <f t="shared" si="14"/>
        <v>0</v>
      </c>
      <c r="R98" s="446">
        <f t="shared" si="14"/>
        <v>0</v>
      </c>
      <c r="S98" s="446">
        <f t="shared" si="14"/>
        <v>0</v>
      </c>
      <c r="T98" s="446">
        <f t="shared" si="14"/>
        <v>0</v>
      </c>
      <c r="U98" s="314"/>
      <c r="W98" s="418" t="s">
        <v>161</v>
      </c>
      <c r="X98" s="419">
        <f t="shared" ref="X98:AE98" si="15">M98/B98</f>
        <v>0</v>
      </c>
      <c r="Y98" s="419">
        <f t="shared" si="15"/>
        <v>-0.48495527243155334</v>
      </c>
      <c r="Z98" s="419">
        <f t="shared" si="15"/>
        <v>0</v>
      </c>
      <c r="AA98" s="419">
        <f t="shared" si="15"/>
        <v>0</v>
      </c>
      <c r="AB98" s="419">
        <f t="shared" si="15"/>
        <v>0</v>
      </c>
      <c r="AC98" s="419">
        <f t="shared" si="15"/>
        <v>0</v>
      </c>
      <c r="AD98" s="419">
        <f t="shared" si="15"/>
        <v>0</v>
      </c>
      <c r="AE98" s="419">
        <f t="shared" si="15"/>
        <v>0</v>
      </c>
      <c r="AF98" s="419"/>
    </row>
    <row r="100" spans="1:32" ht="27.75" customHeight="1">
      <c r="A100" s="497" t="s">
        <v>163</v>
      </c>
      <c r="B100" s="497"/>
      <c r="C100" s="497"/>
      <c r="D100" s="497"/>
      <c r="E100" s="497"/>
      <c r="F100" s="497"/>
      <c r="G100" s="497"/>
      <c r="H100" s="497"/>
      <c r="I100" s="497"/>
      <c r="J100" s="497"/>
      <c r="L100" s="497" t="s">
        <v>104</v>
      </c>
      <c r="M100" s="497"/>
      <c r="N100" s="497"/>
      <c r="O100" s="497"/>
      <c r="P100" s="497"/>
      <c r="Q100" s="497"/>
      <c r="R100" s="497"/>
      <c r="S100" s="497"/>
      <c r="T100" s="497"/>
      <c r="U100" s="497"/>
      <c r="W100" s="497" t="s">
        <v>105</v>
      </c>
      <c r="X100" s="497"/>
      <c r="Y100" s="497"/>
      <c r="Z100" s="497"/>
      <c r="AA100" s="497"/>
      <c r="AB100" s="497"/>
      <c r="AC100" s="497"/>
      <c r="AD100" s="497"/>
      <c r="AE100" s="497"/>
      <c r="AF100" s="497"/>
    </row>
    <row r="101" spans="1:32">
      <c r="A101" s="7"/>
      <c r="B101" s="7"/>
      <c r="C101" s="7"/>
      <c r="D101" s="8"/>
      <c r="E101" s="7"/>
      <c r="F101" s="7"/>
      <c r="G101" s="7"/>
      <c r="H101" s="7"/>
      <c r="I101" s="7"/>
      <c r="J101" s="7"/>
      <c r="L101" s="7"/>
      <c r="M101" s="7"/>
      <c r="N101" s="7"/>
      <c r="O101" s="8"/>
      <c r="P101" s="7"/>
      <c r="Q101" s="7"/>
      <c r="R101" s="7"/>
      <c r="S101" s="7"/>
      <c r="T101" s="7"/>
      <c r="U101" s="7"/>
      <c r="W101" s="7"/>
      <c r="X101" s="7"/>
      <c r="Y101" s="7"/>
      <c r="Z101" s="8"/>
      <c r="AA101" s="7"/>
      <c r="AB101" s="7"/>
      <c r="AC101" s="7"/>
      <c r="AD101" s="7"/>
      <c r="AE101" s="7"/>
      <c r="AF101" s="7"/>
    </row>
    <row r="102" spans="1:32" ht="12.75" customHeight="1">
      <c r="A102" s="10"/>
      <c r="B102" s="498" t="s">
        <v>158</v>
      </c>
      <c r="C102" s="499"/>
      <c r="D102" s="499"/>
      <c r="E102" s="499"/>
      <c r="F102" s="499"/>
      <c r="G102" s="499"/>
      <c r="H102" s="499"/>
      <c r="I102" s="499"/>
      <c r="J102" s="500"/>
      <c r="L102" s="10"/>
      <c r="M102" s="498" t="s">
        <v>158</v>
      </c>
      <c r="N102" s="499"/>
      <c r="O102" s="499"/>
      <c r="P102" s="499"/>
      <c r="Q102" s="499"/>
      <c r="R102" s="499"/>
      <c r="S102" s="499"/>
      <c r="T102" s="499"/>
      <c r="U102" s="500"/>
      <c r="W102" s="10"/>
      <c r="X102" s="498" t="s">
        <v>158</v>
      </c>
      <c r="Y102" s="499"/>
      <c r="Z102" s="499"/>
      <c r="AA102" s="499"/>
      <c r="AB102" s="499"/>
      <c r="AC102" s="499"/>
      <c r="AD102" s="499"/>
      <c r="AE102" s="499"/>
      <c r="AF102" s="500"/>
    </row>
    <row r="103" spans="1:32">
      <c r="A103" s="14"/>
      <c r="B103" s="298">
        <v>2014</v>
      </c>
      <c r="C103" s="299">
        <v>2015</v>
      </c>
      <c r="D103" s="299">
        <v>2016</v>
      </c>
      <c r="E103" s="300">
        <v>2017</v>
      </c>
      <c r="F103" s="299">
        <v>2018</v>
      </c>
      <c r="G103" s="300">
        <v>2019</v>
      </c>
      <c r="H103" s="299">
        <v>2020</v>
      </c>
      <c r="I103" s="301">
        <v>2021</v>
      </c>
      <c r="J103" s="302" t="s">
        <v>65</v>
      </c>
      <c r="L103" s="14"/>
      <c r="M103" s="298">
        <v>2014</v>
      </c>
      <c r="N103" s="299">
        <v>2015</v>
      </c>
      <c r="O103" s="299">
        <v>2016</v>
      </c>
      <c r="P103" s="300">
        <v>2017</v>
      </c>
      <c r="Q103" s="299">
        <v>2018</v>
      </c>
      <c r="R103" s="300">
        <v>2019</v>
      </c>
      <c r="S103" s="299">
        <v>2020</v>
      </c>
      <c r="T103" s="301">
        <v>2021</v>
      </c>
      <c r="U103" s="302" t="s">
        <v>65</v>
      </c>
      <c r="W103" s="14"/>
      <c r="X103" s="298">
        <v>2014</v>
      </c>
      <c r="Y103" s="299">
        <v>2015</v>
      </c>
      <c r="Z103" s="299">
        <v>2016</v>
      </c>
      <c r="AA103" s="300">
        <v>2017</v>
      </c>
      <c r="AB103" s="299">
        <v>2018</v>
      </c>
      <c r="AC103" s="300">
        <v>2019</v>
      </c>
      <c r="AD103" s="299">
        <v>2020</v>
      </c>
      <c r="AE103" s="301">
        <v>2021</v>
      </c>
      <c r="AF103" s="302" t="s">
        <v>65</v>
      </c>
    </row>
    <row r="104" spans="1:32">
      <c r="A104" s="418" t="s">
        <v>161</v>
      </c>
      <c r="B104" s="445">
        <v>0.51</v>
      </c>
      <c r="C104" s="445">
        <v>0.51</v>
      </c>
      <c r="D104" s="445">
        <v>0.5</v>
      </c>
      <c r="E104" s="445">
        <v>0.5</v>
      </c>
      <c r="F104" s="445">
        <v>0.49</v>
      </c>
      <c r="G104" s="445">
        <v>0.49</v>
      </c>
      <c r="H104" s="445">
        <v>0.48</v>
      </c>
      <c r="I104" s="445">
        <v>0.47</v>
      </c>
      <c r="J104" s="445">
        <f>SUM(B104:I104)</f>
        <v>3.95</v>
      </c>
      <c r="L104" s="418" t="s">
        <v>161</v>
      </c>
      <c r="M104" s="446">
        <f>+B91-B104</f>
        <v>-8.4074074074074079E-2</v>
      </c>
      <c r="N104" s="446">
        <f t="shared" ref="N104:T104" si="16">+C91-C104</f>
        <v>-0.2473271889400922</v>
      </c>
      <c r="O104" s="446">
        <f t="shared" si="16"/>
        <v>0</v>
      </c>
      <c r="P104" s="446">
        <f t="shared" si="16"/>
        <v>0</v>
      </c>
      <c r="Q104" s="446">
        <f t="shared" si="16"/>
        <v>0</v>
      </c>
      <c r="R104" s="446">
        <f t="shared" si="16"/>
        <v>0</v>
      </c>
      <c r="S104" s="446">
        <f t="shared" si="16"/>
        <v>0</v>
      </c>
      <c r="T104" s="446">
        <f t="shared" si="16"/>
        <v>0</v>
      </c>
      <c r="U104" s="314"/>
      <c r="W104" s="418" t="s">
        <v>161</v>
      </c>
      <c r="X104" s="419">
        <f t="shared" ref="X104:AE104" si="17">M104/B104</f>
        <v>-0.16485112563543936</v>
      </c>
      <c r="Y104" s="419">
        <f t="shared" si="17"/>
        <v>-0.48495527243155334</v>
      </c>
      <c r="Z104" s="419">
        <f t="shared" si="17"/>
        <v>0</v>
      </c>
      <c r="AA104" s="419">
        <f t="shared" si="17"/>
        <v>0</v>
      </c>
      <c r="AB104" s="419">
        <f t="shared" si="17"/>
        <v>0</v>
      </c>
      <c r="AC104" s="419">
        <f t="shared" si="17"/>
        <v>0</v>
      </c>
      <c r="AD104" s="419">
        <f t="shared" si="17"/>
        <v>0</v>
      </c>
      <c r="AE104" s="419">
        <f t="shared" si="17"/>
        <v>0</v>
      </c>
      <c r="AF104" s="419"/>
    </row>
    <row r="107" spans="1:32" ht="12.75" customHeight="1">
      <c r="A107" s="416" t="s">
        <v>164</v>
      </c>
      <c r="B107" s="416"/>
      <c r="C107" s="416"/>
      <c r="D107" s="416"/>
      <c r="E107" s="416"/>
      <c r="F107" s="416"/>
      <c r="G107" s="416"/>
      <c r="H107" s="416"/>
      <c r="I107" s="416"/>
      <c r="J107" s="416"/>
    </row>
    <row r="109" spans="1:32">
      <c r="A109" s="10"/>
      <c r="B109" s="478" t="s">
        <v>75</v>
      </c>
      <c r="C109" s="479" t="s">
        <v>3</v>
      </c>
      <c r="D109" s="479"/>
      <c r="E109" s="479"/>
      <c r="F109" s="479"/>
      <c r="G109" s="479"/>
      <c r="H109" s="479"/>
      <c r="I109" s="480"/>
    </row>
    <row r="110" spans="1:32">
      <c r="A110" s="12"/>
      <c r="B110" s="478"/>
      <c r="C110" s="481"/>
      <c r="D110" s="481"/>
      <c r="E110" s="481"/>
      <c r="F110" s="481"/>
      <c r="G110" s="481"/>
      <c r="H110" s="481"/>
      <c r="I110" s="482"/>
    </row>
    <row r="111" spans="1:32">
      <c r="A111" s="14"/>
      <c r="B111" s="298">
        <v>2014</v>
      </c>
      <c r="C111" s="299">
        <v>2015</v>
      </c>
      <c r="D111" s="299">
        <v>2016</v>
      </c>
      <c r="E111" s="300">
        <v>2017</v>
      </c>
      <c r="F111" s="299">
        <v>2018</v>
      </c>
      <c r="G111" s="300">
        <v>2019</v>
      </c>
      <c r="H111" s="299">
        <v>2020</v>
      </c>
      <c r="I111" s="301">
        <v>2021</v>
      </c>
    </row>
    <row r="112" spans="1:32" ht="25.5">
      <c r="A112" s="447" t="s">
        <v>165</v>
      </c>
      <c r="B112" s="314">
        <v>1.7370000000000001</v>
      </c>
      <c r="C112" s="448">
        <v>0</v>
      </c>
      <c r="D112" s="448">
        <v>0</v>
      </c>
      <c r="E112" s="448">
        <v>0</v>
      </c>
      <c r="F112" s="448">
        <v>0</v>
      </c>
      <c r="G112" s="448">
        <v>0</v>
      </c>
      <c r="H112" s="448">
        <v>0</v>
      </c>
      <c r="I112" s="448">
        <v>0</v>
      </c>
    </row>
    <row r="113" spans="1:12">
      <c r="A113" s="418" t="s">
        <v>166</v>
      </c>
      <c r="B113" s="314">
        <v>69482</v>
      </c>
      <c r="C113" s="313">
        <f>B113</f>
        <v>69482</v>
      </c>
      <c r="D113" s="313">
        <f t="shared" ref="D113:I113" si="18">C113</f>
        <v>69482</v>
      </c>
      <c r="E113" s="313">
        <f t="shared" si="18"/>
        <v>69482</v>
      </c>
      <c r="F113" s="313">
        <f t="shared" si="18"/>
        <v>69482</v>
      </c>
      <c r="G113" s="313">
        <f t="shared" si="18"/>
        <v>69482</v>
      </c>
      <c r="H113" s="313">
        <f t="shared" si="18"/>
        <v>69482</v>
      </c>
      <c r="I113" s="313">
        <f t="shared" si="18"/>
        <v>69482</v>
      </c>
    </row>
    <row r="114" spans="1:12">
      <c r="A114" s="418" t="s">
        <v>167</v>
      </c>
      <c r="B114" s="449">
        <f>IF(ISERROR(B112/B113),"",(B112/B113))</f>
        <v>2.4999280389165542E-5</v>
      </c>
      <c r="C114" s="449">
        <f t="shared" ref="C114:I114" si="19">IF(ISERROR(C112/C113),"",(C112/C113))</f>
        <v>0</v>
      </c>
      <c r="D114" s="449">
        <f t="shared" si="19"/>
        <v>0</v>
      </c>
      <c r="E114" s="449">
        <f t="shared" si="19"/>
        <v>0</v>
      </c>
      <c r="F114" s="449">
        <f t="shared" si="19"/>
        <v>0</v>
      </c>
      <c r="G114" s="449">
        <f t="shared" si="19"/>
        <v>0</v>
      </c>
      <c r="H114" s="449">
        <f t="shared" si="19"/>
        <v>0</v>
      </c>
      <c r="I114" s="449">
        <f t="shared" si="19"/>
        <v>0</v>
      </c>
    </row>
    <row r="116" spans="1:12" ht="15">
      <c r="A116" s="450" t="s">
        <v>168</v>
      </c>
      <c r="B116" s="451"/>
      <c r="C116" s="451"/>
    </row>
    <row r="117" spans="1:12" ht="15">
      <c r="A117" s="450"/>
      <c r="B117" s="451"/>
      <c r="C117" s="451"/>
    </row>
    <row r="118" spans="1:12" ht="65.25" customHeight="1">
      <c r="A118" s="478" t="s">
        <v>169</v>
      </c>
      <c r="B118" s="478" t="s">
        <v>75</v>
      </c>
      <c r="C118" s="479" t="s">
        <v>3</v>
      </c>
      <c r="D118" s="479"/>
      <c r="E118" s="479"/>
      <c r="F118" s="479"/>
      <c r="G118" s="479"/>
      <c r="H118" s="479"/>
      <c r="I118" s="480"/>
      <c r="L118" t="s">
        <v>170</v>
      </c>
    </row>
    <row r="119" spans="1:12" ht="12.75" customHeight="1">
      <c r="A119" s="478"/>
      <c r="B119" s="478"/>
      <c r="C119" s="481"/>
      <c r="D119" s="481"/>
      <c r="E119" s="481"/>
      <c r="F119" s="481"/>
      <c r="G119" s="481"/>
      <c r="H119" s="481"/>
      <c r="I119" s="482"/>
    </row>
    <row r="120" spans="1:12" ht="14.25">
      <c r="A120" s="452"/>
      <c r="B120" s="298">
        <v>2014</v>
      </c>
      <c r="C120" s="299">
        <v>2015</v>
      </c>
      <c r="D120" s="299">
        <v>2016</v>
      </c>
      <c r="E120" s="300">
        <v>2017</v>
      </c>
      <c r="F120" s="299">
        <v>2018</v>
      </c>
      <c r="G120" s="300">
        <v>2019</v>
      </c>
      <c r="H120" s="299">
        <v>2020</v>
      </c>
      <c r="I120" s="301">
        <v>2021</v>
      </c>
    </row>
    <row r="121" spans="1:12">
      <c r="A121" s="447" t="s">
        <v>171</v>
      </c>
      <c r="B121" s="453">
        <v>51</v>
      </c>
      <c r="C121" s="453">
        <f>'[6]6.5 Capacity Output Data'!$C$10</f>
        <v>59</v>
      </c>
      <c r="D121" s="454">
        <v>59</v>
      </c>
      <c r="E121" s="454">
        <v>58</v>
      </c>
      <c r="F121" s="454">
        <v>57</v>
      </c>
      <c r="G121" s="454">
        <v>56</v>
      </c>
      <c r="H121" s="454">
        <v>54</v>
      </c>
      <c r="I121" s="454">
        <v>53</v>
      </c>
    </row>
    <row r="122" spans="1:12">
      <c r="A122" s="447" t="s">
        <v>172</v>
      </c>
      <c r="B122" s="453">
        <v>58</v>
      </c>
      <c r="C122" s="453">
        <f>'[6]6.5 Capacity Output Data'!$C$11</f>
        <v>56</v>
      </c>
      <c r="D122" s="454">
        <v>55</v>
      </c>
      <c r="E122" s="454">
        <v>53</v>
      </c>
      <c r="F122" s="454">
        <v>52</v>
      </c>
      <c r="G122" s="454">
        <v>50</v>
      </c>
      <c r="H122" s="454">
        <v>49</v>
      </c>
      <c r="I122" s="454">
        <v>48</v>
      </c>
    </row>
    <row r="123" spans="1:12">
      <c r="A123" s="447" t="s">
        <v>173</v>
      </c>
      <c r="B123" s="453">
        <v>25</v>
      </c>
      <c r="C123" s="453">
        <f>'[6]6.5 Capacity Output Data'!$C$12</f>
        <v>27</v>
      </c>
      <c r="D123" s="454">
        <v>28</v>
      </c>
      <c r="E123" s="454">
        <v>30</v>
      </c>
      <c r="F123" s="454">
        <v>33</v>
      </c>
      <c r="G123" s="454">
        <v>36</v>
      </c>
      <c r="H123" s="454">
        <v>38</v>
      </c>
      <c r="I123" s="454">
        <v>41</v>
      </c>
    </row>
    <row r="124" spans="1:12">
      <c r="A124" s="447" t="s">
        <v>174</v>
      </c>
      <c r="B124" s="453">
        <v>49</v>
      </c>
      <c r="C124" s="453">
        <f>'[6]6.5 Capacity Output Data'!$C$13</f>
        <v>44</v>
      </c>
      <c r="D124" s="454">
        <v>46</v>
      </c>
      <c r="E124" s="454">
        <v>47</v>
      </c>
      <c r="F124" s="454">
        <v>48</v>
      </c>
      <c r="G124" s="454">
        <v>49</v>
      </c>
      <c r="H124" s="454">
        <v>51</v>
      </c>
      <c r="I124" s="454">
        <v>52</v>
      </c>
    </row>
    <row r="125" spans="1:12">
      <c r="A125" s="447" t="s">
        <v>175</v>
      </c>
      <c r="B125" s="453">
        <v>10</v>
      </c>
      <c r="C125" s="453">
        <f>'[6]6.5 Capacity Output Data'!$C$14</f>
        <v>9</v>
      </c>
      <c r="D125" s="454">
        <v>7</v>
      </c>
      <c r="E125" s="454">
        <v>6</v>
      </c>
      <c r="F125" s="454">
        <v>4</v>
      </c>
      <c r="G125" s="454">
        <v>3</v>
      </c>
      <c r="H125" s="454">
        <v>2</v>
      </c>
      <c r="I125" s="454">
        <v>0</v>
      </c>
    </row>
    <row r="126" spans="1:12">
      <c r="A126" s="447" t="s">
        <v>176</v>
      </c>
      <c r="B126" s="453">
        <v>193</v>
      </c>
      <c r="C126" s="453">
        <f>'[6]6.5 Capacity Output Data'!$C$15</f>
        <v>195</v>
      </c>
      <c r="D126" s="454">
        <f>SUM(D121:D125)</f>
        <v>195</v>
      </c>
      <c r="E126" s="454">
        <f t="shared" ref="E126:I126" si="20">SUM(E121:E125)</f>
        <v>194</v>
      </c>
      <c r="F126" s="454">
        <f t="shared" si="20"/>
        <v>194</v>
      </c>
      <c r="G126" s="454">
        <f t="shared" si="20"/>
        <v>194</v>
      </c>
      <c r="H126" s="454">
        <f t="shared" si="20"/>
        <v>194</v>
      </c>
      <c r="I126" s="454">
        <f t="shared" si="20"/>
        <v>194</v>
      </c>
    </row>
    <row r="135" spans="6:14">
      <c r="F135" s="455"/>
      <c r="G135" s="455"/>
      <c r="H135" s="455"/>
      <c r="I135" s="455"/>
      <c r="J135" s="455"/>
      <c r="K135" s="455"/>
      <c r="L135" s="455"/>
      <c r="M135" s="455"/>
      <c r="N135" s="455"/>
    </row>
  </sheetData>
  <mergeCells count="50">
    <mergeCell ref="B109:B110"/>
    <mergeCell ref="C109:I110"/>
    <mergeCell ref="A118:A119"/>
    <mergeCell ref="B118:B119"/>
    <mergeCell ref="C118:I119"/>
    <mergeCell ref="Y95:AE96"/>
    <mergeCell ref="A100:J100"/>
    <mergeCell ref="L100:U100"/>
    <mergeCell ref="W100:AF100"/>
    <mergeCell ref="B102:J102"/>
    <mergeCell ref="M102:U102"/>
    <mergeCell ref="X102:AF102"/>
    <mergeCell ref="B95:B96"/>
    <mergeCell ref="C95:I96"/>
    <mergeCell ref="M95:M96"/>
    <mergeCell ref="N95:T96"/>
    <mergeCell ref="X95:X96"/>
    <mergeCell ref="B88:B89"/>
    <mergeCell ref="C88:I89"/>
    <mergeCell ref="A93:J93"/>
    <mergeCell ref="L93:U93"/>
    <mergeCell ref="W93:AF93"/>
    <mergeCell ref="X72:X73"/>
    <mergeCell ref="Y72:AE73"/>
    <mergeCell ref="B79:J79"/>
    <mergeCell ref="M79:U79"/>
    <mergeCell ref="X79:AF79"/>
    <mergeCell ref="M72:M73"/>
    <mergeCell ref="N72:T73"/>
    <mergeCell ref="A86:J86"/>
    <mergeCell ref="B65:B66"/>
    <mergeCell ref="C65:I66"/>
    <mergeCell ref="B72:B73"/>
    <mergeCell ref="C72:I73"/>
    <mergeCell ref="X20:X21"/>
    <mergeCell ref="Y20:AE21"/>
    <mergeCell ref="B36:B37"/>
    <mergeCell ref="C36:I37"/>
    <mergeCell ref="B45:B46"/>
    <mergeCell ref="C45:I46"/>
    <mergeCell ref="M45:M46"/>
    <mergeCell ref="N45:T46"/>
    <mergeCell ref="X45:X46"/>
    <mergeCell ref="Y45:AE46"/>
    <mergeCell ref="N20:T21"/>
    <mergeCell ref="B11:B12"/>
    <mergeCell ref="C11:I12"/>
    <mergeCell ref="B20:B21"/>
    <mergeCell ref="C20:I21"/>
    <mergeCell ref="M20:M21"/>
  </mergeCells>
  <dataValidations count="1">
    <dataValidation type="list" allowBlank="1" showInputMessage="1" showErrorMessage="1" sqref="A1">
      <formula1>A919:A924</formula1>
    </dataValidation>
  </dataValidations>
  <pageMargins left="0.70866141732283472" right="0.70866141732283472" top="0.74803149606299213" bottom="0.74803149606299213" header="0.31496062992125984" footer="0.31496062992125984"/>
  <pageSetup paperSize="8" scale="46" fitToHeight="2" orientation="landscape" r:id="rId1"/>
  <rowBreaks count="1" manualBreakCount="1">
    <brk id="8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AC73"/>
  <sheetViews>
    <sheetView workbookViewId="0">
      <selection activeCell="B29" sqref="B29"/>
    </sheetView>
  </sheetViews>
  <sheetFormatPr defaultRowHeight="12.75"/>
  <cols>
    <col min="1" max="1" width="38.5703125" customWidth="1"/>
    <col min="2" max="2" width="11.5703125" customWidth="1"/>
    <col min="3" max="9" width="10.5703125" customWidth="1"/>
    <col min="11" max="11" width="37.42578125" customWidth="1"/>
    <col min="12" max="19" width="11.140625" customWidth="1"/>
    <col min="21" max="21" width="37.5703125" customWidth="1"/>
    <col min="22" max="22" width="11.42578125" customWidth="1"/>
    <col min="23" max="29" width="10.28515625" customWidth="1"/>
  </cols>
  <sheetData>
    <row r="1" spans="1:29" s="3" customFormat="1" ht="24.75">
      <c r="A1" s="1" t="str">
        <f>'[6]Universal data'!A1</f>
        <v>Regulatory Reporting Pack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s="3" customFormat="1" ht="24.75">
      <c r="A2" s="4" t="str">
        <f>'[6]Universal data'!A2</f>
        <v>Northern Gas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s="3" customFormat="1" ht="24.75">
      <c r="A3" s="5" t="str">
        <f>+'[6]Universal data'!A3</f>
        <v>2014/15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s="7" customFormat="1">
      <c r="D4" s="8"/>
      <c r="O4" s="8"/>
    </row>
    <row r="5" spans="1:29" s="7" customFormat="1" ht="15">
      <c r="A5" s="416" t="s">
        <v>177</v>
      </c>
      <c r="D5" s="8"/>
      <c r="O5" s="8"/>
    </row>
    <row r="6" spans="1:29" s="7" customFormat="1">
      <c r="D6" s="8"/>
      <c r="O6" s="8"/>
    </row>
    <row r="7" spans="1:29" s="7" customFormat="1" ht="14.25">
      <c r="A7" s="8" t="s">
        <v>178</v>
      </c>
      <c r="D7" s="8"/>
      <c r="F7" s="417"/>
      <c r="O7" s="8"/>
    </row>
    <row r="8" spans="1:29" s="7" customFormat="1">
      <c r="D8" s="8"/>
      <c r="O8" s="8"/>
    </row>
    <row r="9" spans="1:29" s="7" customFormat="1" ht="12.75" customHeight="1">
      <c r="A9" s="10"/>
      <c r="B9" s="478" t="s">
        <v>75</v>
      </c>
      <c r="C9" s="479" t="s">
        <v>3</v>
      </c>
      <c r="D9" s="479"/>
      <c r="E9" s="479"/>
      <c r="F9" s="479"/>
      <c r="G9" s="479"/>
      <c r="H9" s="479"/>
      <c r="I9" s="480"/>
      <c r="O9" s="8"/>
    </row>
    <row r="10" spans="1:29" s="7" customFormat="1">
      <c r="A10" s="12"/>
      <c r="B10" s="478"/>
      <c r="C10" s="481"/>
      <c r="D10" s="481"/>
      <c r="E10" s="481"/>
      <c r="F10" s="481"/>
      <c r="G10" s="481"/>
      <c r="H10" s="481"/>
      <c r="I10" s="482"/>
      <c r="O10" s="8"/>
    </row>
    <row r="11" spans="1:29" s="7" customFormat="1">
      <c r="A11" s="14"/>
      <c r="B11" s="298">
        <v>2014</v>
      </c>
      <c r="C11" s="425">
        <v>2015</v>
      </c>
      <c r="D11" s="425">
        <v>2016</v>
      </c>
      <c r="E11" s="425">
        <v>2017</v>
      </c>
      <c r="F11" s="425">
        <v>2018</v>
      </c>
      <c r="G11" s="425">
        <v>2019</v>
      </c>
      <c r="H11" s="425">
        <v>2020</v>
      </c>
      <c r="I11" s="425">
        <v>2021</v>
      </c>
      <c r="O11" s="8"/>
    </row>
    <row r="12" spans="1:29" s="7" customFormat="1">
      <c r="A12" s="418" t="s">
        <v>179</v>
      </c>
      <c r="B12" s="314">
        <f t="shared" ref="B12:B13" si="0">+B22</f>
        <v>430.38706766191478</v>
      </c>
      <c r="C12" s="456"/>
      <c r="D12" s="456"/>
      <c r="E12" s="456"/>
      <c r="F12" s="456"/>
      <c r="G12" s="456"/>
      <c r="H12" s="456"/>
      <c r="I12" s="457"/>
      <c r="O12" s="8"/>
    </row>
    <row r="13" spans="1:29" s="7" customFormat="1">
      <c r="A13" s="418" t="s">
        <v>180</v>
      </c>
      <c r="B13" s="314">
        <f t="shared" si="0"/>
        <v>420.61</v>
      </c>
      <c r="C13" s="314">
        <f>'[6]3.12 Shrinkage'!$G$19</f>
        <v>397.00217050130345</v>
      </c>
      <c r="D13" s="313">
        <v>385</v>
      </c>
      <c r="E13" s="313">
        <v>375</v>
      </c>
      <c r="F13" s="313">
        <v>364</v>
      </c>
      <c r="G13" s="313">
        <v>353</v>
      </c>
      <c r="H13" s="313">
        <v>342</v>
      </c>
      <c r="I13" s="313">
        <v>331</v>
      </c>
      <c r="O13" s="8"/>
    </row>
    <row r="14" spans="1:29">
      <c r="A14" s="418" t="s">
        <v>181</v>
      </c>
      <c r="B14" s="314">
        <f>+$B$12-B13</f>
        <v>9.7770676619147707</v>
      </c>
      <c r="C14" s="314">
        <f t="shared" ref="C14:I14" si="1">+$B$12-C13</f>
        <v>33.384897160611331</v>
      </c>
      <c r="D14" s="314">
        <f t="shared" si="1"/>
        <v>45.387067661914784</v>
      </c>
      <c r="E14" s="314">
        <f t="shared" si="1"/>
        <v>55.387067661914784</v>
      </c>
      <c r="F14" s="314">
        <f t="shared" si="1"/>
        <v>66.387067661914784</v>
      </c>
      <c r="G14" s="314">
        <f t="shared" si="1"/>
        <v>77.387067661914784</v>
      </c>
      <c r="H14" s="314">
        <f t="shared" si="1"/>
        <v>88.387067661914784</v>
      </c>
      <c r="I14" s="314">
        <f t="shared" si="1"/>
        <v>99.387067661914784</v>
      </c>
    </row>
    <row r="15" spans="1:29">
      <c r="A15" s="418" t="s">
        <v>182</v>
      </c>
      <c r="B15" s="419">
        <f>+B14/$B$12</f>
        <v>2.2716917854964509E-2</v>
      </c>
      <c r="C15" s="419">
        <f t="shared" ref="C15:I15" si="2">+C14/$B$12</f>
        <v>7.7569470992647077E-2</v>
      </c>
      <c r="D15" s="419">
        <f t="shared" si="2"/>
        <v>0.10545639279656059</v>
      </c>
      <c r="E15" s="419">
        <f t="shared" si="2"/>
        <v>0.1286912916849616</v>
      </c>
      <c r="F15" s="419">
        <f t="shared" si="2"/>
        <v>0.15424968046220275</v>
      </c>
      <c r="G15" s="419">
        <f t="shared" si="2"/>
        <v>0.17980806923944387</v>
      </c>
      <c r="H15" s="419">
        <f t="shared" si="2"/>
        <v>0.20536645801668499</v>
      </c>
      <c r="I15" s="419">
        <f t="shared" si="2"/>
        <v>0.23092484679392611</v>
      </c>
    </row>
    <row r="17" spans="1:29" s="7" customFormat="1" ht="14.25">
      <c r="A17" s="8" t="s">
        <v>183</v>
      </c>
      <c r="D17" s="8"/>
      <c r="F17" s="417"/>
      <c r="K17" s="8" t="s">
        <v>48</v>
      </c>
      <c r="N17" s="8"/>
      <c r="P17" s="417"/>
      <c r="U17" s="8" t="s">
        <v>49</v>
      </c>
      <c r="X17" s="8"/>
      <c r="Z17" s="417"/>
    </row>
    <row r="18" spans="1:29" s="7" customFormat="1">
      <c r="D18" s="8"/>
      <c r="N18" s="8"/>
      <c r="X18" s="8"/>
    </row>
    <row r="19" spans="1:29" s="7" customFormat="1" ht="12.75" customHeight="1">
      <c r="A19" s="10"/>
      <c r="B19" s="478" t="s">
        <v>75</v>
      </c>
      <c r="C19" s="479" t="s">
        <v>3</v>
      </c>
      <c r="D19" s="479"/>
      <c r="E19" s="479"/>
      <c r="F19" s="479"/>
      <c r="G19" s="479"/>
      <c r="H19" s="479"/>
      <c r="I19" s="480"/>
      <c r="K19" s="10"/>
      <c r="L19" s="478" t="s">
        <v>75</v>
      </c>
      <c r="M19" s="479" t="s">
        <v>3</v>
      </c>
      <c r="N19" s="479"/>
      <c r="O19" s="479"/>
      <c r="P19" s="479"/>
      <c r="Q19" s="479"/>
      <c r="R19" s="479"/>
      <c r="S19" s="480"/>
      <c r="U19" s="10"/>
      <c r="V19" s="478" t="s">
        <v>75</v>
      </c>
      <c r="W19" s="479" t="s">
        <v>3</v>
      </c>
      <c r="X19" s="479"/>
      <c r="Y19" s="479"/>
      <c r="Z19" s="479"/>
      <c r="AA19" s="479"/>
      <c r="AB19" s="479"/>
      <c r="AC19" s="480"/>
    </row>
    <row r="20" spans="1:29" s="7" customFormat="1">
      <c r="A20" s="12"/>
      <c r="B20" s="478"/>
      <c r="C20" s="481"/>
      <c r="D20" s="481"/>
      <c r="E20" s="481"/>
      <c r="F20" s="481"/>
      <c r="G20" s="481"/>
      <c r="H20" s="481"/>
      <c r="I20" s="482"/>
      <c r="K20" s="12"/>
      <c r="L20" s="478"/>
      <c r="M20" s="481"/>
      <c r="N20" s="481"/>
      <c r="O20" s="481"/>
      <c r="P20" s="481"/>
      <c r="Q20" s="481"/>
      <c r="R20" s="481"/>
      <c r="S20" s="482"/>
      <c r="U20" s="12"/>
      <c r="V20" s="478"/>
      <c r="W20" s="481"/>
      <c r="X20" s="481"/>
      <c r="Y20" s="481"/>
      <c r="Z20" s="481"/>
      <c r="AA20" s="481"/>
      <c r="AB20" s="481"/>
      <c r="AC20" s="482"/>
    </row>
    <row r="21" spans="1:29" s="7" customFormat="1">
      <c r="A21" s="14"/>
      <c r="B21" s="298">
        <v>2014</v>
      </c>
      <c r="C21" s="299">
        <v>2015</v>
      </c>
      <c r="D21" s="299">
        <v>2016</v>
      </c>
      <c r="E21" s="300">
        <v>2017</v>
      </c>
      <c r="F21" s="299">
        <v>2018</v>
      </c>
      <c r="G21" s="300">
        <v>2019</v>
      </c>
      <c r="H21" s="299">
        <v>2020</v>
      </c>
      <c r="I21" s="301">
        <v>2021</v>
      </c>
      <c r="K21" s="14"/>
      <c r="L21" s="298">
        <v>2014</v>
      </c>
      <c r="M21" s="299">
        <v>2015</v>
      </c>
      <c r="N21" s="299">
        <v>2016</v>
      </c>
      <c r="O21" s="300">
        <v>2017</v>
      </c>
      <c r="P21" s="299">
        <v>2018</v>
      </c>
      <c r="Q21" s="300">
        <v>2019</v>
      </c>
      <c r="R21" s="299">
        <v>2020</v>
      </c>
      <c r="S21" s="301">
        <v>2021</v>
      </c>
      <c r="U21" s="14"/>
      <c r="V21" s="298">
        <v>2014</v>
      </c>
      <c r="W21" s="299">
        <v>2015</v>
      </c>
      <c r="X21" s="299">
        <v>2016</v>
      </c>
      <c r="Y21" s="300">
        <v>2017</v>
      </c>
      <c r="Z21" s="299">
        <v>2018</v>
      </c>
      <c r="AA21" s="300">
        <v>2019</v>
      </c>
      <c r="AB21" s="299">
        <v>2020</v>
      </c>
      <c r="AC21" s="301">
        <v>2021</v>
      </c>
    </row>
    <row r="22" spans="1:29" s="7" customFormat="1">
      <c r="A22" s="418" t="s">
        <v>179</v>
      </c>
      <c r="B22" s="314">
        <v>430.38706766191478</v>
      </c>
      <c r="C22" s="456"/>
      <c r="D22" s="456"/>
      <c r="E22" s="456"/>
      <c r="F22" s="456"/>
      <c r="G22" s="456"/>
      <c r="H22" s="456"/>
      <c r="I22" s="457"/>
      <c r="K22" s="418"/>
      <c r="L22" s="422"/>
      <c r="M22" s="422"/>
      <c r="N22" s="422"/>
      <c r="O22" s="422"/>
      <c r="P22" s="422"/>
      <c r="Q22" s="422"/>
      <c r="R22" s="422"/>
      <c r="S22" s="422"/>
      <c r="U22" s="418"/>
      <c r="V22" s="422"/>
      <c r="W22" s="422"/>
      <c r="X22" s="422"/>
      <c r="Y22" s="422"/>
      <c r="Z22" s="422"/>
      <c r="AA22" s="422"/>
      <c r="AB22" s="422"/>
      <c r="AC22" s="422"/>
    </row>
    <row r="23" spans="1:29" s="7" customFormat="1">
      <c r="A23" s="418" t="s">
        <v>180</v>
      </c>
      <c r="B23" s="314">
        <v>420.61</v>
      </c>
      <c r="C23" s="314">
        <v>399.12</v>
      </c>
      <c r="D23" s="314">
        <v>388.12</v>
      </c>
      <c r="E23" s="314">
        <v>378.12</v>
      </c>
      <c r="F23" s="314">
        <v>368.12</v>
      </c>
      <c r="G23" s="314">
        <v>357.12</v>
      </c>
      <c r="H23" s="314">
        <v>347.12</v>
      </c>
      <c r="I23" s="314">
        <v>336.12</v>
      </c>
      <c r="K23" s="418" t="s">
        <v>180</v>
      </c>
      <c r="L23" s="314">
        <f t="shared" ref="L23:S24" si="3">B13-B23</f>
        <v>0</v>
      </c>
      <c r="M23" s="314">
        <f t="shared" si="3"/>
        <v>-2.1178294986965511</v>
      </c>
      <c r="N23" s="314">
        <f t="shared" si="3"/>
        <v>-3.1200000000000045</v>
      </c>
      <c r="O23" s="314">
        <f t="shared" si="3"/>
        <v>-3.1200000000000045</v>
      </c>
      <c r="P23" s="314">
        <f t="shared" si="3"/>
        <v>-4.1200000000000045</v>
      </c>
      <c r="Q23" s="314">
        <f t="shared" si="3"/>
        <v>-4.1200000000000045</v>
      </c>
      <c r="R23" s="314">
        <f t="shared" si="3"/>
        <v>-5.1200000000000045</v>
      </c>
      <c r="S23" s="314">
        <f t="shared" si="3"/>
        <v>-5.1200000000000045</v>
      </c>
      <c r="U23" s="418" t="s">
        <v>180</v>
      </c>
      <c r="V23" s="419">
        <f t="shared" ref="V23:AC24" si="4">L23/B23</f>
        <v>0</v>
      </c>
      <c r="W23" s="419">
        <f t="shared" si="4"/>
        <v>-5.3062474912220665E-3</v>
      </c>
      <c r="X23" s="419">
        <f t="shared" si="4"/>
        <v>-8.038750901782965E-3</v>
      </c>
      <c r="Y23" s="419">
        <f t="shared" si="4"/>
        <v>-8.2513487781656729E-3</v>
      </c>
      <c r="Z23" s="419">
        <f t="shared" si="4"/>
        <v>-1.1192002607845281E-2</v>
      </c>
      <c r="AA23" s="419">
        <f t="shared" si="4"/>
        <v>-1.1536738351254492E-2</v>
      </c>
      <c r="AB23" s="419">
        <f t="shared" si="4"/>
        <v>-1.4749942383037579E-2</v>
      </c>
      <c r="AC23" s="419">
        <f t="shared" si="4"/>
        <v>-1.5232655004165192E-2</v>
      </c>
    </row>
    <row r="24" spans="1:29">
      <c r="A24" s="418" t="s">
        <v>181</v>
      </c>
      <c r="B24" s="314">
        <f>+$B$22-B23</f>
        <v>9.7770676619147707</v>
      </c>
      <c r="C24" s="314">
        <f t="shared" ref="C24:I24" si="5">+$B$22-C23</f>
        <v>31.26706766191478</v>
      </c>
      <c r="D24" s="314">
        <f t="shared" si="5"/>
        <v>42.26706766191478</v>
      </c>
      <c r="E24" s="314">
        <f t="shared" si="5"/>
        <v>52.26706766191478</v>
      </c>
      <c r="F24" s="314">
        <f t="shared" si="5"/>
        <v>62.26706766191478</v>
      </c>
      <c r="G24" s="314">
        <f t="shared" si="5"/>
        <v>73.26706766191478</v>
      </c>
      <c r="H24" s="314">
        <f t="shared" si="5"/>
        <v>83.26706766191478</v>
      </c>
      <c r="I24" s="314">
        <f t="shared" si="5"/>
        <v>94.26706766191478</v>
      </c>
      <c r="K24" s="418" t="s">
        <v>181</v>
      </c>
      <c r="L24" s="314">
        <f t="shared" si="3"/>
        <v>0</v>
      </c>
      <c r="M24" s="314">
        <f t="shared" si="3"/>
        <v>2.1178294986965511</v>
      </c>
      <c r="N24" s="314">
        <f t="shared" si="3"/>
        <v>3.1200000000000045</v>
      </c>
      <c r="O24" s="314">
        <f t="shared" si="3"/>
        <v>3.1200000000000045</v>
      </c>
      <c r="P24" s="314">
        <f t="shared" si="3"/>
        <v>4.1200000000000045</v>
      </c>
      <c r="Q24" s="314">
        <f t="shared" si="3"/>
        <v>4.1200000000000045</v>
      </c>
      <c r="R24" s="314">
        <f t="shared" si="3"/>
        <v>5.1200000000000045</v>
      </c>
      <c r="S24" s="314">
        <f t="shared" si="3"/>
        <v>5.1200000000000045</v>
      </c>
      <c r="U24" s="418" t="s">
        <v>181</v>
      </c>
      <c r="V24" s="419">
        <f t="shared" si="4"/>
        <v>0</v>
      </c>
      <c r="W24" s="419">
        <f t="shared" si="4"/>
        <v>6.7733550251538238E-2</v>
      </c>
      <c r="X24" s="419">
        <f t="shared" si="4"/>
        <v>7.3816334384874199E-2</v>
      </c>
      <c r="Y24" s="419">
        <f t="shared" si="4"/>
        <v>5.9693419576959388E-2</v>
      </c>
      <c r="Z24" s="419">
        <f t="shared" si="4"/>
        <v>6.6166597443932218E-2</v>
      </c>
      <c r="AA24" s="419">
        <f t="shared" si="4"/>
        <v>5.623263126909113E-2</v>
      </c>
      <c r="AB24" s="419">
        <f t="shared" si="4"/>
        <v>6.1488895235130549E-2</v>
      </c>
      <c r="AC24" s="419">
        <f t="shared" si="4"/>
        <v>5.4313771786799268E-2</v>
      </c>
    </row>
    <row r="26" spans="1:29" s="7" customFormat="1" ht="14.25">
      <c r="A26" s="8" t="s">
        <v>184</v>
      </c>
      <c r="D26" s="8"/>
      <c r="F26" s="417"/>
      <c r="K26" s="8" t="s">
        <v>104</v>
      </c>
      <c r="N26" s="8"/>
      <c r="P26" s="417"/>
      <c r="U26" s="8" t="s">
        <v>105</v>
      </c>
      <c r="X26" s="8"/>
      <c r="Z26" s="417"/>
    </row>
    <row r="27" spans="1:29" s="7" customFormat="1">
      <c r="D27" s="8"/>
      <c r="N27" s="8"/>
      <c r="X27" s="8"/>
    </row>
    <row r="28" spans="1:29" s="7" customFormat="1" ht="38.25">
      <c r="A28" s="420"/>
      <c r="B28" s="421" t="s">
        <v>103</v>
      </c>
      <c r="H28" s="8"/>
      <c r="K28" s="420"/>
      <c r="L28" s="421" t="s">
        <v>103</v>
      </c>
      <c r="R28" s="8"/>
      <c r="U28" s="420"/>
      <c r="V28" s="421" t="s">
        <v>103</v>
      </c>
      <c r="AB28" s="8"/>
    </row>
    <row r="29" spans="1:29" s="7" customFormat="1">
      <c r="A29" s="418" t="s">
        <v>181</v>
      </c>
      <c r="B29" s="445">
        <v>0.17799999999999999</v>
      </c>
      <c r="H29" s="8"/>
      <c r="K29" s="418" t="s">
        <v>181</v>
      </c>
      <c r="L29" s="314">
        <f>I14-B12*B29</f>
        <v>22.778169618093955</v>
      </c>
      <c r="R29" s="8"/>
      <c r="U29" s="418" t="s">
        <v>181</v>
      </c>
      <c r="V29" s="419">
        <f>+(I15-B29)</f>
        <v>5.2924846793926117E-2</v>
      </c>
      <c r="AB29" s="8"/>
    </row>
    <row r="32" spans="1:29" s="7" customFormat="1" ht="14.25">
      <c r="A32" s="8" t="s">
        <v>185</v>
      </c>
      <c r="D32" s="8"/>
      <c r="F32" s="417"/>
      <c r="O32" s="8"/>
    </row>
    <row r="33" spans="1:29" s="7" customFormat="1">
      <c r="D33" s="8"/>
      <c r="O33" s="8"/>
    </row>
    <row r="34" spans="1:29" s="7" customFormat="1" ht="12.75" customHeight="1">
      <c r="A34" s="10"/>
      <c r="B34" s="478" t="s">
        <v>75</v>
      </c>
      <c r="C34" s="479" t="s">
        <v>3</v>
      </c>
      <c r="D34" s="479"/>
      <c r="E34" s="479"/>
      <c r="F34" s="479"/>
      <c r="G34" s="479"/>
      <c r="H34" s="479"/>
      <c r="I34" s="480"/>
      <c r="O34" s="8"/>
    </row>
    <row r="35" spans="1:29" s="7" customFormat="1">
      <c r="A35" s="12"/>
      <c r="B35" s="478"/>
      <c r="C35" s="481"/>
      <c r="D35" s="481"/>
      <c r="E35" s="481"/>
      <c r="F35" s="481"/>
      <c r="G35" s="481"/>
      <c r="H35" s="481"/>
      <c r="I35" s="482"/>
      <c r="O35" s="8"/>
    </row>
    <row r="36" spans="1:29" s="7" customFormat="1">
      <c r="A36" s="14"/>
      <c r="B36" s="298">
        <v>2014</v>
      </c>
      <c r="C36" s="425">
        <v>2015</v>
      </c>
      <c r="D36" s="425">
        <v>2016</v>
      </c>
      <c r="E36" s="425">
        <v>2017</v>
      </c>
      <c r="F36" s="425">
        <v>2018</v>
      </c>
      <c r="G36" s="425">
        <v>2019</v>
      </c>
      <c r="H36" s="425">
        <v>2020</v>
      </c>
      <c r="I36" s="425">
        <v>2021</v>
      </c>
      <c r="O36" s="8"/>
    </row>
    <row r="37" spans="1:29" s="7" customFormat="1">
      <c r="A37" s="418" t="s">
        <v>186</v>
      </c>
      <c r="B37" s="314">
        <f t="shared" ref="B37:B38" si="6">+B47</f>
        <v>407.83869343290081</v>
      </c>
      <c r="C37" s="456"/>
      <c r="D37" s="456"/>
      <c r="E37" s="456"/>
      <c r="F37" s="456"/>
      <c r="G37" s="456"/>
      <c r="H37" s="456"/>
      <c r="I37" s="457"/>
      <c r="O37" s="8"/>
    </row>
    <row r="38" spans="1:29" s="7" customFormat="1">
      <c r="A38" s="418" t="s">
        <v>187</v>
      </c>
      <c r="B38" s="314">
        <f t="shared" si="6"/>
        <v>398.87</v>
      </c>
      <c r="C38" s="314">
        <f>'[6]3.12 Shrinkage'!$G$16</f>
        <v>374.88145747433646</v>
      </c>
      <c r="D38" s="331">
        <v>362.64</v>
      </c>
      <c r="E38" s="313">
        <v>352.64</v>
      </c>
      <c r="F38" s="313">
        <v>340.64</v>
      </c>
      <c r="G38" s="313">
        <v>330.64</v>
      </c>
      <c r="H38" s="313">
        <v>318.64</v>
      </c>
      <c r="I38" s="313">
        <v>308.64</v>
      </c>
      <c r="O38" s="8"/>
    </row>
    <row r="39" spans="1:29">
      <c r="A39" s="418" t="s">
        <v>188</v>
      </c>
      <c r="B39" s="314">
        <f>+$B$37-B38</f>
        <v>8.9686934329008068</v>
      </c>
      <c r="C39" s="314">
        <f t="shared" ref="C39:I39" si="7">+$B$37-C38</f>
        <v>32.957235958564354</v>
      </c>
      <c r="D39" s="314">
        <f t="shared" si="7"/>
        <v>45.198693432900825</v>
      </c>
      <c r="E39" s="314">
        <f t="shared" si="7"/>
        <v>55.198693432900825</v>
      </c>
      <c r="F39" s="314">
        <f t="shared" si="7"/>
        <v>67.198693432900825</v>
      </c>
      <c r="G39" s="314">
        <f t="shared" si="7"/>
        <v>77.198693432900825</v>
      </c>
      <c r="H39" s="314">
        <f t="shared" si="7"/>
        <v>89.198693432900825</v>
      </c>
      <c r="I39" s="314">
        <f t="shared" si="7"/>
        <v>99.198693432900825</v>
      </c>
    </row>
    <row r="40" spans="1:29">
      <c r="A40" s="418" t="s">
        <v>189</v>
      </c>
      <c r="B40" s="419">
        <f>+B39/$B$12</f>
        <v>2.0838668507451651E-2</v>
      </c>
      <c r="C40" s="419">
        <f>+C39/$B$37</f>
        <v>8.0809487891287113E-2</v>
      </c>
      <c r="D40" s="419">
        <f t="shared" ref="D40:I40" si="8">+D39/$B$37</f>
        <v>0.11082492701329989</v>
      </c>
      <c r="E40" s="419">
        <f t="shared" si="8"/>
        <v>0.13534442494476637</v>
      </c>
      <c r="F40" s="419">
        <f t="shared" si="8"/>
        <v>0.16476782246252614</v>
      </c>
      <c r="G40" s="419">
        <f t="shared" si="8"/>
        <v>0.1892873203939926</v>
      </c>
      <c r="H40" s="419">
        <f t="shared" si="8"/>
        <v>0.21871071791175237</v>
      </c>
      <c r="I40" s="419">
        <f t="shared" si="8"/>
        <v>0.24323021584321886</v>
      </c>
    </row>
    <row r="42" spans="1:29" s="7" customFormat="1" ht="14.25">
      <c r="A42" s="8" t="s">
        <v>190</v>
      </c>
      <c r="D42" s="8"/>
      <c r="F42" s="417"/>
      <c r="K42" s="8" t="s">
        <v>48</v>
      </c>
      <c r="N42" s="8"/>
      <c r="P42" s="417"/>
      <c r="U42" s="8" t="s">
        <v>49</v>
      </c>
      <c r="X42" s="8"/>
      <c r="Z42" s="417"/>
    </row>
    <row r="43" spans="1:29" s="7" customFormat="1">
      <c r="D43" s="8"/>
      <c r="N43" s="8"/>
      <c r="X43" s="8"/>
    </row>
    <row r="44" spans="1:29" s="7" customFormat="1" ht="12.75" customHeight="1">
      <c r="A44" s="10"/>
      <c r="B44" s="478" t="s">
        <v>75</v>
      </c>
      <c r="C44" s="479" t="s">
        <v>3</v>
      </c>
      <c r="D44" s="479"/>
      <c r="E44" s="479"/>
      <c r="F44" s="479"/>
      <c r="G44" s="479"/>
      <c r="H44" s="479"/>
      <c r="I44" s="480"/>
      <c r="K44" s="10"/>
      <c r="L44" s="478" t="s">
        <v>75</v>
      </c>
      <c r="M44" s="479" t="s">
        <v>3</v>
      </c>
      <c r="N44" s="479"/>
      <c r="O44" s="479"/>
      <c r="P44" s="479"/>
      <c r="Q44" s="479"/>
      <c r="R44" s="479"/>
      <c r="S44" s="480"/>
      <c r="U44" s="10"/>
      <c r="V44" s="478" t="s">
        <v>75</v>
      </c>
      <c r="W44" s="479" t="s">
        <v>3</v>
      </c>
      <c r="X44" s="479"/>
      <c r="Y44" s="479"/>
      <c r="Z44" s="479"/>
      <c r="AA44" s="479"/>
      <c r="AB44" s="479"/>
      <c r="AC44" s="480"/>
    </row>
    <row r="45" spans="1:29" s="7" customFormat="1">
      <c r="A45" s="12"/>
      <c r="B45" s="478"/>
      <c r="C45" s="481"/>
      <c r="D45" s="481"/>
      <c r="E45" s="481"/>
      <c r="F45" s="481"/>
      <c r="G45" s="481"/>
      <c r="H45" s="481"/>
      <c r="I45" s="482"/>
      <c r="K45" s="12"/>
      <c r="L45" s="478"/>
      <c r="M45" s="481"/>
      <c r="N45" s="481"/>
      <c r="O45" s="481"/>
      <c r="P45" s="481"/>
      <c r="Q45" s="481"/>
      <c r="R45" s="481"/>
      <c r="S45" s="482"/>
      <c r="U45" s="12"/>
      <c r="V45" s="478"/>
      <c r="W45" s="481"/>
      <c r="X45" s="481"/>
      <c r="Y45" s="481"/>
      <c r="Z45" s="481"/>
      <c r="AA45" s="481"/>
      <c r="AB45" s="481"/>
      <c r="AC45" s="482"/>
    </row>
    <row r="46" spans="1:29" s="7" customFormat="1">
      <c r="A46" s="14"/>
      <c r="B46" s="298">
        <v>2014</v>
      </c>
      <c r="C46" s="299">
        <v>2015</v>
      </c>
      <c r="D46" s="299">
        <v>2016</v>
      </c>
      <c r="E46" s="300">
        <v>2017</v>
      </c>
      <c r="F46" s="299">
        <v>2018</v>
      </c>
      <c r="G46" s="300">
        <v>2019</v>
      </c>
      <c r="H46" s="299">
        <v>2020</v>
      </c>
      <c r="I46" s="301">
        <v>2021</v>
      </c>
      <c r="K46" s="14"/>
      <c r="L46" s="298">
        <v>2014</v>
      </c>
      <c r="M46" s="299">
        <v>2015</v>
      </c>
      <c r="N46" s="299">
        <v>2016</v>
      </c>
      <c r="O46" s="300">
        <v>2017</v>
      </c>
      <c r="P46" s="299">
        <v>2018</v>
      </c>
      <c r="Q46" s="300">
        <v>2019</v>
      </c>
      <c r="R46" s="299">
        <v>2020</v>
      </c>
      <c r="S46" s="301">
        <v>2021</v>
      </c>
      <c r="U46" s="14"/>
      <c r="V46" s="298">
        <v>2014</v>
      </c>
      <c r="W46" s="299">
        <v>2015</v>
      </c>
      <c r="X46" s="299">
        <v>2016</v>
      </c>
      <c r="Y46" s="300">
        <v>2017</v>
      </c>
      <c r="Z46" s="299">
        <v>2018</v>
      </c>
      <c r="AA46" s="300">
        <v>2019</v>
      </c>
      <c r="AB46" s="299">
        <v>2020</v>
      </c>
      <c r="AC46" s="301">
        <v>2021</v>
      </c>
    </row>
    <row r="47" spans="1:29" s="7" customFormat="1">
      <c r="A47" s="418" t="s">
        <v>186</v>
      </c>
      <c r="B47" s="314">
        <v>407.83869343290081</v>
      </c>
      <c r="C47" s="456"/>
      <c r="D47" s="456"/>
      <c r="E47" s="456"/>
      <c r="F47" s="456"/>
      <c r="G47" s="456"/>
      <c r="H47" s="456"/>
      <c r="I47" s="457"/>
      <c r="K47" s="418"/>
      <c r="L47" s="422"/>
      <c r="M47" s="422"/>
      <c r="N47" s="422"/>
      <c r="O47" s="422"/>
      <c r="P47" s="422"/>
      <c r="Q47" s="422"/>
      <c r="R47" s="422"/>
      <c r="S47" s="422"/>
      <c r="U47" s="418"/>
      <c r="V47" s="422"/>
      <c r="W47" s="422"/>
      <c r="X47" s="422"/>
      <c r="Y47" s="422"/>
      <c r="Z47" s="422"/>
      <c r="AA47" s="422"/>
      <c r="AB47" s="422"/>
      <c r="AC47" s="422"/>
    </row>
    <row r="48" spans="1:29" s="7" customFormat="1">
      <c r="A48" s="418" t="s">
        <v>187</v>
      </c>
      <c r="B48" s="314">
        <v>398.87</v>
      </c>
      <c r="C48" s="314">
        <v>376.71000000000004</v>
      </c>
      <c r="D48" s="314">
        <v>365.71000000000004</v>
      </c>
      <c r="E48" s="314">
        <v>355.71000000000004</v>
      </c>
      <c r="F48" s="314">
        <v>344.71000000000004</v>
      </c>
      <c r="G48" s="314">
        <v>334.71000000000004</v>
      </c>
      <c r="H48" s="314">
        <v>323.71000000000004</v>
      </c>
      <c r="I48" s="314">
        <v>313.71000000000004</v>
      </c>
      <c r="K48" s="418" t="s">
        <v>187</v>
      </c>
      <c r="L48" s="314">
        <f t="shared" ref="L48:S49" si="9">B38-B48</f>
        <v>0</v>
      </c>
      <c r="M48" s="314">
        <f t="shared" si="9"/>
        <v>-1.828542525663579</v>
      </c>
      <c r="N48" s="314">
        <f t="shared" si="9"/>
        <v>-3.07000000000005</v>
      </c>
      <c r="O48" s="314">
        <f t="shared" si="9"/>
        <v>-3.07000000000005</v>
      </c>
      <c r="P48" s="314">
        <f t="shared" si="9"/>
        <v>-4.07000000000005</v>
      </c>
      <c r="Q48" s="314">
        <f t="shared" si="9"/>
        <v>-4.07000000000005</v>
      </c>
      <c r="R48" s="314">
        <f t="shared" si="9"/>
        <v>-5.07000000000005</v>
      </c>
      <c r="S48" s="314">
        <f t="shared" si="9"/>
        <v>-5.07000000000005</v>
      </c>
      <c r="U48" s="418" t="s">
        <v>187</v>
      </c>
      <c r="V48" s="419">
        <f t="shared" ref="V48:AC49" si="10">L48/B48</f>
        <v>0</v>
      </c>
      <c r="W48" s="419">
        <f t="shared" si="10"/>
        <v>-4.8539792563605392E-3</v>
      </c>
      <c r="X48" s="419">
        <f t="shared" si="10"/>
        <v>-8.3946296245660489E-3</v>
      </c>
      <c r="Y48" s="419">
        <f t="shared" si="10"/>
        <v>-8.6306260718002018E-3</v>
      </c>
      <c r="Z48" s="419">
        <f t="shared" si="10"/>
        <v>-1.1807026195932957E-2</v>
      </c>
      <c r="AA48" s="419">
        <f t="shared" si="10"/>
        <v>-1.2159780108153474E-2</v>
      </c>
      <c r="AB48" s="419">
        <f t="shared" si="10"/>
        <v>-1.566216675419372E-2</v>
      </c>
      <c r="AC48" s="419">
        <f t="shared" si="10"/>
        <v>-1.6161422970259316E-2</v>
      </c>
    </row>
    <row r="49" spans="1:29">
      <c r="A49" s="418" t="s">
        <v>188</v>
      </c>
      <c r="B49" s="314">
        <f>+$B$37-B48</f>
        <v>8.9686934329008068</v>
      </c>
      <c r="C49" s="314">
        <f>+$B$47-C48</f>
        <v>31.128693432900775</v>
      </c>
      <c r="D49" s="314">
        <f t="shared" ref="D49:I49" si="11">+$B$47-D48</f>
        <v>42.128693432900775</v>
      </c>
      <c r="E49" s="314">
        <f t="shared" si="11"/>
        <v>52.128693432900775</v>
      </c>
      <c r="F49" s="314">
        <f t="shared" si="11"/>
        <v>63.128693432900775</v>
      </c>
      <c r="G49" s="314">
        <f t="shared" si="11"/>
        <v>73.128693432900775</v>
      </c>
      <c r="H49" s="314">
        <f t="shared" si="11"/>
        <v>84.128693432900775</v>
      </c>
      <c r="I49" s="314">
        <f t="shared" si="11"/>
        <v>94.128693432900775</v>
      </c>
      <c r="K49" s="418" t="s">
        <v>188</v>
      </c>
      <c r="L49" s="314">
        <f t="shared" si="9"/>
        <v>0</v>
      </c>
      <c r="M49" s="314">
        <f t="shared" si="9"/>
        <v>1.828542525663579</v>
      </c>
      <c r="N49" s="314">
        <f t="shared" si="9"/>
        <v>3.07000000000005</v>
      </c>
      <c r="O49" s="314">
        <f t="shared" si="9"/>
        <v>3.07000000000005</v>
      </c>
      <c r="P49" s="314">
        <f t="shared" si="9"/>
        <v>4.07000000000005</v>
      </c>
      <c r="Q49" s="314">
        <f t="shared" si="9"/>
        <v>4.07000000000005</v>
      </c>
      <c r="R49" s="314">
        <f t="shared" si="9"/>
        <v>5.07000000000005</v>
      </c>
      <c r="S49" s="314">
        <f t="shared" si="9"/>
        <v>5.07000000000005</v>
      </c>
      <c r="U49" s="418" t="s">
        <v>188</v>
      </c>
      <c r="V49" s="419">
        <f t="shared" si="10"/>
        <v>0</v>
      </c>
      <c r="W49" s="419">
        <f t="shared" si="10"/>
        <v>5.8741383720620342E-2</v>
      </c>
      <c r="X49" s="419">
        <f t="shared" si="10"/>
        <v>7.2871949017115883E-2</v>
      </c>
      <c r="Y49" s="419">
        <f t="shared" si="10"/>
        <v>5.88927095199826E-2</v>
      </c>
      <c r="Z49" s="419">
        <f t="shared" si="10"/>
        <v>6.4471475309813536E-2</v>
      </c>
      <c r="AA49" s="419">
        <f t="shared" si="10"/>
        <v>5.5655308592850464E-2</v>
      </c>
      <c r="AB49" s="419">
        <f t="shared" si="10"/>
        <v>6.026481326544994E-2</v>
      </c>
      <c r="AC49" s="419">
        <f t="shared" si="10"/>
        <v>5.3862428289352358E-2</v>
      </c>
    </row>
    <row r="51" spans="1:29" s="7" customFormat="1" ht="14.25">
      <c r="A51" s="8" t="s">
        <v>191</v>
      </c>
      <c r="D51" s="8"/>
      <c r="F51" s="417"/>
      <c r="K51" s="8" t="s">
        <v>104</v>
      </c>
      <c r="N51" s="8"/>
      <c r="P51" s="417"/>
      <c r="U51" s="8" t="s">
        <v>105</v>
      </c>
      <c r="X51" s="8"/>
      <c r="Z51" s="417"/>
    </row>
    <row r="52" spans="1:29" s="7" customFormat="1">
      <c r="D52" s="8"/>
      <c r="N52" s="8"/>
      <c r="X52" s="8"/>
    </row>
    <row r="53" spans="1:29" s="7" customFormat="1" ht="38.25">
      <c r="A53" s="420"/>
      <c r="B53" s="421" t="s">
        <v>103</v>
      </c>
      <c r="H53" s="8"/>
      <c r="K53" s="420"/>
      <c r="L53" s="421" t="s">
        <v>103</v>
      </c>
      <c r="R53" s="8"/>
      <c r="U53" s="420"/>
      <c r="V53" s="421" t="s">
        <v>103</v>
      </c>
      <c r="AB53" s="8"/>
    </row>
    <row r="54" spans="1:29" s="7" customFormat="1">
      <c r="A54" s="418" t="s">
        <v>188</v>
      </c>
      <c r="B54" s="445">
        <v>0.19</v>
      </c>
      <c r="D54" s="458"/>
      <c r="H54" s="8"/>
      <c r="K54" s="418" t="s">
        <v>188</v>
      </c>
      <c r="L54" s="314">
        <f>I39-B37*B54</f>
        <v>21.709341680649672</v>
      </c>
      <c r="R54" s="8"/>
      <c r="U54" s="418" t="s">
        <v>188</v>
      </c>
      <c r="V54" s="419">
        <f>+(I40-B54)</f>
        <v>5.3230215843218853E-2</v>
      </c>
      <c r="AB54" s="8"/>
    </row>
    <row r="55" spans="1:29">
      <c r="B55" s="459"/>
    </row>
    <row r="65" spans="7:7">
      <c r="G65" s="460"/>
    </row>
    <row r="66" spans="7:7">
      <c r="G66" s="460"/>
    </row>
    <row r="67" spans="7:7">
      <c r="G67" s="460"/>
    </row>
    <row r="68" spans="7:7">
      <c r="G68" s="460"/>
    </row>
    <row r="69" spans="7:7">
      <c r="G69" s="460"/>
    </row>
    <row r="70" spans="7:7">
      <c r="G70" s="460"/>
    </row>
    <row r="71" spans="7:7">
      <c r="G71" s="460"/>
    </row>
    <row r="72" spans="7:7">
      <c r="G72" s="460"/>
    </row>
    <row r="73" spans="7:7">
      <c r="G73" s="460"/>
    </row>
  </sheetData>
  <mergeCells count="16">
    <mergeCell ref="V19:V20"/>
    <mergeCell ref="W19:AC20"/>
    <mergeCell ref="B34:B35"/>
    <mergeCell ref="C34:I35"/>
    <mergeCell ref="B44:B45"/>
    <mergeCell ref="C44:I45"/>
    <mergeCell ref="L44:L45"/>
    <mergeCell ref="M44:S45"/>
    <mergeCell ref="V44:V45"/>
    <mergeCell ref="W44:AC45"/>
    <mergeCell ref="M19:S20"/>
    <mergeCell ref="B9:B10"/>
    <mergeCell ref="C9:I10"/>
    <mergeCell ref="B19:B20"/>
    <mergeCell ref="C19:I20"/>
    <mergeCell ref="L19:L20"/>
  </mergeCells>
  <dataValidations count="1">
    <dataValidation type="list" allowBlank="1" showInputMessage="1" showErrorMessage="1" sqref="A1">
      <formula1>A920:A925</formula1>
    </dataValidation>
  </dataValidations>
  <pageMargins left="0.70866141732283472" right="0.70866141732283472" top="0.74803149606299213" bottom="0.74803149606299213" header="0.31496062992125984" footer="0.31496062992125984"/>
  <pageSetup paperSize="8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2.2 Totex costs summary</vt:lpstr>
      <vt:lpstr>2.3 Workload summary</vt:lpstr>
      <vt:lpstr>2.4 Safety</vt:lpstr>
      <vt:lpstr>2.5 Reliability</vt:lpstr>
      <vt:lpstr>2.6 Environmental</vt:lpstr>
      <vt:lpstr>'2.2 Totex costs summary'!Print_Area</vt:lpstr>
      <vt:lpstr>'2.4 Safety'!Print_Area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dpearson</dc:creator>
  <cp:lastModifiedBy>sfletcher</cp:lastModifiedBy>
  <dcterms:created xsi:type="dcterms:W3CDTF">2015-09-29T08:39:59Z</dcterms:created>
  <dcterms:modified xsi:type="dcterms:W3CDTF">2017-08-03T10:22:03Z</dcterms:modified>
</cp:coreProperties>
</file>